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ercury.network\dfs\users\TKARO1\Desktop\"/>
    </mc:Choice>
  </mc:AlternateContent>
  <bookViews>
    <workbookView xWindow="0" yWindow="0" windowWidth="19200" windowHeight="6600" firstSheet="11" activeTab="14"/>
  </bookViews>
  <sheets>
    <sheet name="AASB 16 Requirements Sub Leases" sheetId="3" state="hidden" r:id="rId1"/>
    <sheet name="A - Lease Transition" sheetId="6" r:id="rId2"/>
    <sheet name="Example B(ii) - Operating Sub" sheetId="8" state="hidden" r:id="rId3"/>
    <sheet name="B(i) Lease Commencing Post Tran" sheetId="12" r:id="rId4"/>
    <sheet name="B(ii) Fitout Incentive post Com" sheetId="17" r:id="rId5"/>
    <sheet name="C1 - Finance Sub Lease" sheetId="4" r:id="rId6"/>
    <sheet name="C2 - Operating Sub Lease" sheetId="9" r:id="rId7"/>
    <sheet name="B2 - Operating Sub Lease   " sheetId="1" state="hidden" r:id="rId8"/>
    <sheet name="D Modification or Term Reassess" sheetId="7" r:id="rId9"/>
    <sheet name="E(i) Lease Market Review Index" sheetId="10" r:id="rId10"/>
    <sheet name="E(ii) Lease Market Review Fixed" sheetId="20" r:id="rId11"/>
    <sheet name="F - Lease Portfolio" sheetId="11" r:id="rId12"/>
    <sheet name="G - Foreign Currency" sheetId="14" r:id="rId13"/>
    <sheet name="H - Sale &amp; Leaseback " sheetId="15" r:id="rId14"/>
    <sheet name="I - Lease Termination" sheetId="16" r:id="rId15"/>
  </sheets>
  <definedNames>
    <definedName name="_xlnm.Print_Area" localSheetId="1">'A - Lease Transition'!$A$1:$V$73</definedName>
    <definedName name="_xlnm.Print_Area" localSheetId="3">'B(i) Lease Commencing Post Tran'!$A$1:$T$105</definedName>
    <definedName name="_xlnm.Print_Area" localSheetId="4">'B(ii) Fitout Incentive post Com'!$A$1:$S$70</definedName>
    <definedName name="_xlnm.Print_Area" localSheetId="8">'D Modification or Term Reassess'!$A$1:$Z$86</definedName>
    <definedName name="_xlnm.Print_Area" localSheetId="11">'F - Lease Portfolio'!$A$1:$U$79</definedName>
    <definedName name="_xlnm.Print_Area" localSheetId="12">'G - Foreign Currency'!$A$1:$AO$78</definedName>
    <definedName name="_xlnm.Print_Area" localSheetId="13">'H - Sale &amp; Leaseback '!$A$1:$Q$61</definedName>
    <definedName name="_xlnm.Print_Area" localSheetId="14">'I - Lease Termination'!$A$1:$Q$59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3" i="20" l="1"/>
  <c r="M56" i="20"/>
  <c r="M44" i="20"/>
  <c r="M33" i="20"/>
  <c r="L33" i="20"/>
  <c r="D32" i="20"/>
  <c r="L36" i="20"/>
  <c r="M36" i="20" s="1"/>
  <c r="C46" i="20"/>
  <c r="D46" i="20" s="1"/>
  <c r="C47" i="20"/>
  <c r="C48" i="20"/>
  <c r="D48" i="20" s="1"/>
  <c r="C49" i="20"/>
  <c r="D49" i="20" s="1"/>
  <c r="C50" i="20"/>
  <c r="D50" i="20" s="1"/>
  <c r="C51" i="20"/>
  <c r="D51" i="20" s="1"/>
  <c r="C52" i="20"/>
  <c r="C53" i="20"/>
  <c r="D53" i="20" s="1"/>
  <c r="C54" i="20"/>
  <c r="D54" i="20" s="1"/>
  <c r="C55" i="20"/>
  <c r="D55" i="20" s="1"/>
  <c r="C56" i="20"/>
  <c r="D56" i="20" s="1"/>
  <c r="C45" i="20"/>
  <c r="D45" i="20" s="1"/>
  <c r="C22" i="20"/>
  <c r="D22" i="20" s="1"/>
  <c r="C23" i="20"/>
  <c r="D23" i="20" s="1"/>
  <c r="C24" i="20"/>
  <c r="D24" i="20" s="1"/>
  <c r="C25" i="20"/>
  <c r="C26" i="20"/>
  <c r="D26" i="20" s="1"/>
  <c r="C27" i="20"/>
  <c r="C28" i="20"/>
  <c r="D28" i="20" s="1"/>
  <c r="C29" i="20"/>
  <c r="D29" i="20" s="1"/>
  <c r="C30" i="20"/>
  <c r="C31" i="20"/>
  <c r="D31" i="20" s="1"/>
  <c r="C32" i="20"/>
  <c r="C33" i="20"/>
  <c r="C34" i="20"/>
  <c r="D34" i="20" s="1"/>
  <c r="C35" i="20"/>
  <c r="L35" i="20" s="1"/>
  <c r="M35" i="20" s="1"/>
  <c r="C36" i="20"/>
  <c r="D36" i="20" s="1"/>
  <c r="C37" i="20"/>
  <c r="L37" i="20" s="1"/>
  <c r="M37" i="20" s="1"/>
  <c r="C38" i="20"/>
  <c r="D38" i="20" s="1"/>
  <c r="C39" i="20"/>
  <c r="D39" i="20" s="1"/>
  <c r="C40" i="20"/>
  <c r="L40" i="20" s="1"/>
  <c r="M40" i="20" s="1"/>
  <c r="C41" i="20"/>
  <c r="L41" i="20" s="1"/>
  <c r="M41" i="20" s="1"/>
  <c r="C42" i="20"/>
  <c r="D42" i="20" s="1"/>
  <c r="C43" i="20"/>
  <c r="L43" i="20" s="1"/>
  <c r="M43" i="20" s="1"/>
  <c r="C44" i="20"/>
  <c r="D44" i="20" s="1"/>
  <c r="C21" i="20"/>
  <c r="D21" i="20" s="1"/>
  <c r="D52" i="20"/>
  <c r="D47" i="20"/>
  <c r="D40" i="20"/>
  <c r="D35" i="20"/>
  <c r="D30" i="20"/>
  <c r="D27" i="20"/>
  <c r="D25" i="20"/>
  <c r="C20" i="20"/>
  <c r="D20" i="20" s="1"/>
  <c r="C19" i="20"/>
  <c r="D19" i="20" s="1"/>
  <c r="C18" i="20"/>
  <c r="D18" i="20" s="1"/>
  <c r="C17" i="20"/>
  <c r="D17" i="20" s="1"/>
  <c r="C16" i="20"/>
  <c r="D16" i="20" s="1"/>
  <c r="C15" i="20"/>
  <c r="D15" i="20" s="1"/>
  <c r="C14" i="20"/>
  <c r="D14" i="20" s="1"/>
  <c r="C13" i="20"/>
  <c r="D13" i="20" s="1"/>
  <c r="C12" i="20"/>
  <c r="D12" i="20" s="1"/>
  <c r="C11" i="20"/>
  <c r="D11" i="20" s="1"/>
  <c r="C10" i="20"/>
  <c r="D10" i="20" s="1"/>
  <c r="C9" i="20"/>
  <c r="C25" i="17"/>
  <c r="D25" i="17" s="1"/>
  <c r="D24" i="17"/>
  <c r="S55" i="17"/>
  <c r="S42" i="17"/>
  <c r="S25" i="17"/>
  <c r="C17" i="17"/>
  <c r="C16" i="17"/>
  <c r="C15" i="17"/>
  <c r="C14" i="17"/>
  <c r="C13" i="17"/>
  <c r="C12" i="17"/>
  <c r="D12" i="17" s="1"/>
  <c r="D37" i="20" l="1"/>
  <c r="L44" i="20"/>
  <c r="Z19" i="20"/>
  <c r="L38" i="20"/>
  <c r="M38" i="20" s="1"/>
  <c r="D41" i="20"/>
  <c r="L42" i="20"/>
  <c r="M42" i="20" s="1"/>
  <c r="D33" i="20"/>
  <c r="D9" i="20"/>
  <c r="L34" i="20"/>
  <c r="M34" i="20" s="1"/>
  <c r="D43" i="20"/>
  <c r="L39" i="20"/>
  <c r="M39" i="20" s="1"/>
  <c r="Z28" i="20"/>
  <c r="C57" i="20"/>
  <c r="L51" i="20" l="1"/>
  <c r="L49" i="20"/>
  <c r="M49" i="20" s="1"/>
  <c r="L52" i="20"/>
  <c r="L45" i="20"/>
  <c r="M45" i="20" s="1"/>
  <c r="L55" i="20"/>
  <c r="L50" i="20"/>
  <c r="L53" i="20"/>
  <c r="L56" i="20"/>
  <c r="L46" i="20"/>
  <c r="M46" i="20" s="1"/>
  <c r="L48" i="20"/>
  <c r="M48" i="20" s="1"/>
  <c r="L54" i="20"/>
  <c r="L47" i="20"/>
  <c r="M47" i="20" s="1"/>
  <c r="D57" i="20"/>
  <c r="E47" i="20" s="1"/>
  <c r="Z40" i="20"/>
  <c r="E49" i="20"/>
  <c r="E48" i="20"/>
  <c r="E27" i="20"/>
  <c r="E40" i="20"/>
  <c r="E37" i="20"/>
  <c r="Z9" i="20"/>
  <c r="Z10" i="20" s="1"/>
  <c r="E39" i="20"/>
  <c r="E36" i="20"/>
  <c r="E33" i="20"/>
  <c r="G9" i="20"/>
  <c r="E21" i="20"/>
  <c r="E20" i="20"/>
  <c r="E55" i="20"/>
  <c r="E26" i="20"/>
  <c r="E9" i="20"/>
  <c r="E52" i="20"/>
  <c r="E14" i="20"/>
  <c r="E38" i="20"/>
  <c r="E50" i="20"/>
  <c r="E41" i="20"/>
  <c r="E31" i="20"/>
  <c r="E16" i="20"/>
  <c r="E53" i="20"/>
  <c r="E51" i="20"/>
  <c r="E44" i="20"/>
  <c r="E43" i="20" l="1"/>
  <c r="E10" i="20"/>
  <c r="Z13" i="20" s="1"/>
  <c r="Z14" i="20" s="1"/>
  <c r="E22" i="20"/>
  <c r="E15" i="20"/>
  <c r="E28" i="20"/>
  <c r="E56" i="20"/>
  <c r="E46" i="20"/>
  <c r="E25" i="20"/>
  <c r="E45" i="20"/>
  <c r="E35" i="20"/>
  <c r="E13" i="20"/>
  <c r="E12" i="20"/>
  <c r="E29" i="20"/>
  <c r="E24" i="20"/>
  <c r="E11" i="20"/>
  <c r="E54" i="20"/>
  <c r="E19" i="20"/>
  <c r="E17" i="20"/>
  <c r="E34" i="20"/>
  <c r="Z49" i="20"/>
  <c r="E23" i="20"/>
  <c r="E18" i="20"/>
  <c r="E42" i="20"/>
  <c r="E30" i="20"/>
  <c r="E32" i="20"/>
  <c r="H9" i="20"/>
  <c r="G10" i="20" s="1"/>
  <c r="F9" i="20"/>
  <c r="Z22" i="20"/>
  <c r="M50" i="20"/>
  <c r="F10" i="20" l="1"/>
  <c r="F11" i="20" s="1"/>
  <c r="F12" i="20" s="1"/>
  <c r="F13" i="20" s="1"/>
  <c r="F14" i="20" s="1"/>
  <c r="F15" i="20" s="1"/>
  <c r="F16" i="20" s="1"/>
  <c r="F17" i="20" s="1"/>
  <c r="F18" i="20" s="1"/>
  <c r="F19" i="20" s="1"/>
  <c r="F20" i="20" s="1"/>
  <c r="F21" i="20" s="1"/>
  <c r="F22" i="20" s="1"/>
  <c r="F23" i="20" s="1"/>
  <c r="F24" i="20" s="1"/>
  <c r="F25" i="20" s="1"/>
  <c r="F26" i="20" s="1"/>
  <c r="F27" i="20" s="1"/>
  <c r="F28" i="20" s="1"/>
  <c r="F29" i="20" s="1"/>
  <c r="F30" i="20" s="1"/>
  <c r="F31" i="20" s="1"/>
  <c r="F32" i="20" s="1"/>
  <c r="E57" i="20"/>
  <c r="M51" i="20"/>
  <c r="H10" i="20"/>
  <c r="F33" i="20" l="1"/>
  <c r="F34" i="20" s="1"/>
  <c r="F35" i="20" s="1"/>
  <c r="F36" i="20" s="1"/>
  <c r="F37" i="20" s="1"/>
  <c r="F38" i="20" s="1"/>
  <c r="F39" i="20" s="1"/>
  <c r="F40" i="20" s="1"/>
  <c r="F41" i="20" s="1"/>
  <c r="F42" i="20" s="1"/>
  <c r="F43" i="20" s="1"/>
  <c r="F44" i="20" s="1"/>
  <c r="F45" i="20" s="1"/>
  <c r="F46" i="20" s="1"/>
  <c r="F47" i="20" s="1"/>
  <c r="F48" i="20" s="1"/>
  <c r="F49" i="20" s="1"/>
  <c r="F50" i="20" s="1"/>
  <c r="F51" i="20" s="1"/>
  <c r="F52" i="20" s="1"/>
  <c r="F53" i="20" s="1"/>
  <c r="F54" i="20" s="1"/>
  <c r="F55" i="20" s="1"/>
  <c r="F56" i="20" s="1"/>
  <c r="M52" i="20"/>
  <c r="G11" i="20"/>
  <c r="C48" i="17"/>
  <c r="D48" i="17" s="1"/>
  <c r="C47" i="17"/>
  <c r="C46" i="17"/>
  <c r="D46" i="17" s="1"/>
  <c r="C45" i="17"/>
  <c r="D45" i="17" s="1"/>
  <c r="C44" i="17"/>
  <c r="D44" i="17" s="1"/>
  <c r="C43" i="17"/>
  <c r="D43" i="17" s="1"/>
  <c r="C42" i="17"/>
  <c r="C41" i="17"/>
  <c r="D41" i="17" s="1"/>
  <c r="C40" i="17"/>
  <c r="D40" i="17" s="1"/>
  <c r="C39" i="17"/>
  <c r="C38" i="17"/>
  <c r="D38" i="17" s="1"/>
  <c r="C37" i="17"/>
  <c r="D37" i="17" s="1"/>
  <c r="C36" i="17"/>
  <c r="D36" i="17" s="1"/>
  <c r="C35" i="17"/>
  <c r="C34" i="17"/>
  <c r="D34" i="17" s="1"/>
  <c r="C33" i="17"/>
  <c r="D33" i="17" s="1"/>
  <c r="C32" i="17"/>
  <c r="D32" i="17" s="1"/>
  <c r="C31" i="17"/>
  <c r="D31" i="17" s="1"/>
  <c r="C30" i="17"/>
  <c r="D30" i="17" s="1"/>
  <c r="C29" i="17"/>
  <c r="D29" i="17" s="1"/>
  <c r="C28" i="17"/>
  <c r="D28" i="17" s="1"/>
  <c r="C27" i="17"/>
  <c r="D27" i="17" s="1"/>
  <c r="C26" i="17"/>
  <c r="C23" i="17"/>
  <c r="C22" i="17"/>
  <c r="D22" i="17" s="1"/>
  <c r="C21" i="17"/>
  <c r="D21" i="17" s="1"/>
  <c r="C20" i="17"/>
  <c r="D20" i="17" s="1"/>
  <c r="C19" i="17"/>
  <c r="D19" i="17" s="1"/>
  <c r="C18" i="17"/>
  <c r="D17" i="17"/>
  <c r="D16" i="17"/>
  <c r="D15" i="17"/>
  <c r="D14" i="17"/>
  <c r="D13" i="17"/>
  <c r="X12" i="17"/>
  <c r="X13" i="17" s="1"/>
  <c r="X14" i="17" s="1"/>
  <c r="X15" i="17" s="1"/>
  <c r="X16" i="17" s="1"/>
  <c r="X17" i="17" s="1"/>
  <c r="H11" i="20" l="1"/>
  <c r="M53" i="20"/>
  <c r="G12" i="20"/>
  <c r="H12" i="20" s="1"/>
  <c r="S51" i="17"/>
  <c r="D39" i="17"/>
  <c r="S21" i="17"/>
  <c r="D35" i="17"/>
  <c r="S38" i="17"/>
  <c r="D26" i="17"/>
  <c r="D23" i="17"/>
  <c r="X18" i="17"/>
  <c r="X19" i="17" s="1"/>
  <c r="X20" i="17" s="1"/>
  <c r="X21" i="17" s="1"/>
  <c r="X22" i="17" s="1"/>
  <c r="X23" i="17" s="1"/>
  <c r="X32" i="17" s="1"/>
  <c r="X33" i="17" s="1"/>
  <c r="X34" i="17" s="1"/>
  <c r="X35" i="17" s="1"/>
  <c r="X36" i="17" s="1"/>
  <c r="X37" i="17" s="1"/>
  <c r="X38" i="17" s="1"/>
  <c r="X39" i="17" s="1"/>
  <c r="X40" i="17" s="1"/>
  <c r="X41" i="17" s="1"/>
  <c r="X42" i="17" s="1"/>
  <c r="X43" i="17" s="1"/>
  <c r="X44" i="17" s="1"/>
  <c r="X45" i="17" s="1"/>
  <c r="X46" i="17" s="1"/>
  <c r="X47" i="17" s="1"/>
  <c r="X48" i="17" s="1"/>
  <c r="X49" i="17" s="1"/>
  <c r="X50" i="17" s="1"/>
  <c r="X51" i="17" s="1"/>
  <c r="X52" i="17" s="1"/>
  <c r="X53" i="17" s="1"/>
  <c r="X54" i="17" s="1"/>
  <c r="X55" i="17" s="1"/>
  <c r="C49" i="17"/>
  <c r="D42" i="17"/>
  <c r="D47" i="17"/>
  <c r="D18" i="17"/>
  <c r="D49" i="12"/>
  <c r="D31" i="12"/>
  <c r="D20" i="12"/>
  <c r="M59" i="7"/>
  <c r="M42" i="7"/>
  <c r="M24" i="7"/>
  <c r="E47" i="7"/>
  <c r="D47" i="7"/>
  <c r="D35" i="7"/>
  <c r="D24" i="7"/>
  <c r="D22" i="7"/>
  <c r="D11" i="7"/>
  <c r="M25" i="7"/>
  <c r="M26" i="7"/>
  <c r="M27" i="7"/>
  <c r="M28" i="7"/>
  <c r="M29" i="7"/>
  <c r="M30" i="7"/>
  <c r="M31" i="7"/>
  <c r="M32" i="7"/>
  <c r="M33" i="7"/>
  <c r="M34" i="7"/>
  <c r="M35" i="7"/>
  <c r="M36" i="7"/>
  <c r="M37" i="7"/>
  <c r="M38" i="7"/>
  <c r="M39" i="7"/>
  <c r="M40" i="7"/>
  <c r="M41" i="7"/>
  <c r="M43" i="7"/>
  <c r="M44" i="7"/>
  <c r="M45" i="7"/>
  <c r="M46" i="7"/>
  <c r="M47" i="7"/>
  <c r="M48" i="7"/>
  <c r="M49" i="7"/>
  <c r="M50" i="7"/>
  <c r="M51" i="7"/>
  <c r="M52" i="7"/>
  <c r="M53" i="7"/>
  <c r="M54" i="7"/>
  <c r="M55" i="7"/>
  <c r="M56" i="7"/>
  <c r="M57" i="7"/>
  <c r="M58" i="7"/>
  <c r="H10" i="14"/>
  <c r="AA58" i="14"/>
  <c r="AA48" i="14"/>
  <c r="AA49" i="14"/>
  <c r="AA50" i="14"/>
  <c r="AA51" i="14"/>
  <c r="AA52" i="14"/>
  <c r="AA53" i="14"/>
  <c r="AA54" i="14"/>
  <c r="AA55" i="14"/>
  <c r="AA56" i="14"/>
  <c r="AA57" i="14"/>
  <c r="AA47" i="14"/>
  <c r="P58" i="14"/>
  <c r="P48" i="14"/>
  <c r="P49" i="14"/>
  <c r="P50" i="14"/>
  <c r="P51" i="14"/>
  <c r="P52" i="14"/>
  <c r="P53" i="14"/>
  <c r="P54" i="14"/>
  <c r="P55" i="14"/>
  <c r="P56" i="14"/>
  <c r="P57" i="14"/>
  <c r="P47" i="14"/>
  <c r="P44" i="14"/>
  <c r="P34" i="14"/>
  <c r="P35" i="14"/>
  <c r="P36" i="14"/>
  <c r="P37" i="14"/>
  <c r="P38" i="14"/>
  <c r="P39" i="14"/>
  <c r="P40" i="14"/>
  <c r="P41" i="14"/>
  <c r="P42" i="14"/>
  <c r="P43" i="14"/>
  <c r="Q44" i="14"/>
  <c r="P33" i="14"/>
  <c r="Q33" i="14" s="1"/>
  <c r="E21" i="14"/>
  <c r="E44" i="14"/>
  <c r="E58" i="14"/>
  <c r="E48" i="14"/>
  <c r="E49" i="14"/>
  <c r="E50" i="14"/>
  <c r="E51" i="14"/>
  <c r="E52" i="14"/>
  <c r="E53" i="14"/>
  <c r="E54" i="14"/>
  <c r="E55" i="14"/>
  <c r="E56" i="14"/>
  <c r="E57" i="14"/>
  <c r="E47" i="14"/>
  <c r="F44" i="14"/>
  <c r="E34" i="14"/>
  <c r="E35" i="14"/>
  <c r="E36" i="14"/>
  <c r="E37" i="14"/>
  <c r="E38" i="14"/>
  <c r="E39" i="14"/>
  <c r="E40" i="14"/>
  <c r="E41" i="14"/>
  <c r="E42" i="14"/>
  <c r="E43" i="14"/>
  <c r="E33" i="14"/>
  <c r="F33" i="14" s="1"/>
  <c r="E11" i="14"/>
  <c r="E12" i="14"/>
  <c r="E13" i="14"/>
  <c r="E14" i="14"/>
  <c r="E15" i="14"/>
  <c r="F15" i="14" s="1"/>
  <c r="E16" i="14"/>
  <c r="E17" i="14"/>
  <c r="E18" i="14"/>
  <c r="E19" i="14"/>
  <c r="E20" i="14"/>
  <c r="E10" i="14"/>
  <c r="F10" i="14" s="1"/>
  <c r="AB58" i="14"/>
  <c r="AB47" i="14"/>
  <c r="Q58" i="14"/>
  <c r="Q47" i="14"/>
  <c r="F58" i="14"/>
  <c r="F47" i="14"/>
  <c r="C33" i="14"/>
  <c r="C47" i="14"/>
  <c r="C34" i="14"/>
  <c r="F21" i="14"/>
  <c r="S21" i="14"/>
  <c r="D49" i="17" l="1"/>
  <c r="F11" i="17" s="1"/>
  <c r="M54" i="20"/>
  <c r="G13" i="20"/>
  <c r="H13" i="20" s="1"/>
  <c r="W47" i="17"/>
  <c r="W41" i="17"/>
  <c r="W55" i="17"/>
  <c r="W51" i="17"/>
  <c r="W48" i="17"/>
  <c r="W46" i="17"/>
  <c r="W34" i="17"/>
  <c r="W17" i="17"/>
  <c r="W16" i="17"/>
  <c r="W15" i="17"/>
  <c r="W14" i="17"/>
  <c r="W13" i="17"/>
  <c r="W12" i="17"/>
  <c r="W11" i="17"/>
  <c r="W45" i="17"/>
  <c r="W40" i="17"/>
  <c r="W33" i="17"/>
  <c r="W54" i="17"/>
  <c r="W50" i="17"/>
  <c r="W44" i="17"/>
  <c r="W39" i="17"/>
  <c r="W32" i="17"/>
  <c r="W22" i="17"/>
  <c r="W53" i="17"/>
  <c r="W38" i="17"/>
  <c r="W21" i="17"/>
  <c r="W37" i="17"/>
  <c r="W52" i="17"/>
  <c r="W42" i="17"/>
  <c r="W19" i="17"/>
  <c r="W49" i="17"/>
  <c r="W43" i="17"/>
  <c r="W20" i="17"/>
  <c r="W36" i="17"/>
  <c r="W23" i="17"/>
  <c r="W18" i="17"/>
  <c r="W35" i="17"/>
  <c r="AE32" i="6"/>
  <c r="AE31" i="6"/>
  <c r="C27" i="6"/>
  <c r="M55" i="20" l="1"/>
  <c r="L57" i="20"/>
  <c r="G14" i="20"/>
  <c r="H14" i="20" s="1"/>
  <c r="E37" i="17"/>
  <c r="E45" i="17"/>
  <c r="E46" i="17"/>
  <c r="E39" i="17"/>
  <c r="E47" i="17"/>
  <c r="E40" i="17"/>
  <c r="E48" i="17"/>
  <c r="E41" i="17"/>
  <c r="E38" i="17"/>
  <c r="E42" i="17"/>
  <c r="E44" i="17"/>
  <c r="E43" i="17"/>
  <c r="H11" i="17"/>
  <c r="S12" i="17" s="1"/>
  <c r="E31" i="17"/>
  <c r="E22" i="17"/>
  <c r="E33" i="17"/>
  <c r="E32" i="17"/>
  <c r="E20" i="17"/>
  <c r="E19" i="17"/>
  <c r="E36" i="17"/>
  <c r="E18" i="17"/>
  <c r="E26" i="17"/>
  <c r="E25" i="17"/>
  <c r="E16" i="17"/>
  <c r="E14" i="17"/>
  <c r="E27" i="17"/>
  <c r="E35" i="17"/>
  <c r="E17" i="17"/>
  <c r="E15" i="17"/>
  <c r="E13" i="17"/>
  <c r="E34" i="17"/>
  <c r="E21" i="17"/>
  <c r="E29" i="17"/>
  <c r="E12" i="17"/>
  <c r="F12" i="17" s="1"/>
  <c r="E28" i="17"/>
  <c r="E23" i="17"/>
  <c r="E30" i="17"/>
  <c r="N25" i="4"/>
  <c r="G12" i="17" l="1"/>
  <c r="H12" i="17" s="1"/>
  <c r="G13" i="17" s="1"/>
  <c r="H13" i="17" s="1"/>
  <c r="M57" i="20"/>
  <c r="Q32" i="20" s="1"/>
  <c r="G15" i="20"/>
  <c r="H15" i="20" s="1"/>
  <c r="S11" i="17"/>
  <c r="S32" i="17"/>
  <c r="S33" i="17" s="1"/>
  <c r="S15" i="17"/>
  <c r="S16" i="17" s="1"/>
  <c r="F13" i="17"/>
  <c r="F14" i="17" s="1"/>
  <c r="F15" i="17" s="1"/>
  <c r="F16" i="17" s="1"/>
  <c r="F17" i="17" s="1"/>
  <c r="F18" i="17" s="1"/>
  <c r="F19" i="17" s="1"/>
  <c r="F20" i="17" s="1"/>
  <c r="F21" i="17" s="1"/>
  <c r="F22" i="17" s="1"/>
  <c r="F23" i="17" s="1"/>
  <c r="W26" i="4"/>
  <c r="Q33" i="20" l="1"/>
  <c r="P34" i="20" s="1"/>
  <c r="G16" i="20"/>
  <c r="H16" i="20" s="1"/>
  <c r="F25" i="17"/>
  <c r="F26" i="17" s="1"/>
  <c r="F27" i="17" s="1"/>
  <c r="F28" i="17" s="1"/>
  <c r="F29" i="17" s="1"/>
  <c r="F30" i="17" s="1"/>
  <c r="F31" i="17" s="1"/>
  <c r="F32" i="17" s="1"/>
  <c r="F33" i="17" s="1"/>
  <c r="F34" i="17" s="1"/>
  <c r="F35" i="17" s="1"/>
  <c r="F36" i="17" s="1"/>
  <c r="F37" i="17" s="1"/>
  <c r="E49" i="17"/>
  <c r="G14" i="17"/>
  <c r="F38" i="12"/>
  <c r="D73" i="4"/>
  <c r="D26" i="4"/>
  <c r="D24" i="4"/>
  <c r="D13" i="4"/>
  <c r="D38" i="12"/>
  <c r="D50" i="6"/>
  <c r="D31" i="6"/>
  <c r="D29" i="6"/>
  <c r="D27" i="6"/>
  <c r="K26" i="6"/>
  <c r="J26" i="6"/>
  <c r="I21" i="6"/>
  <c r="G17" i="20" l="1"/>
  <c r="H17" i="20" s="1"/>
  <c r="F38" i="17"/>
  <c r="F39" i="17" s="1"/>
  <c r="F40" i="17" s="1"/>
  <c r="F41" i="17" s="1"/>
  <c r="F42" i="17" s="1"/>
  <c r="F43" i="17" s="1"/>
  <c r="F44" i="17" s="1"/>
  <c r="F45" i="17" s="1"/>
  <c r="F46" i="17" s="1"/>
  <c r="F47" i="17" s="1"/>
  <c r="F48" i="17" s="1"/>
  <c r="S45" i="17"/>
  <c r="S46" i="17" s="1"/>
  <c r="H14" i="17"/>
  <c r="D46" i="16"/>
  <c r="D33" i="16"/>
  <c r="D21" i="16"/>
  <c r="D11" i="16"/>
  <c r="G18" i="20" l="1"/>
  <c r="H18" i="20" s="1"/>
  <c r="G15" i="17"/>
  <c r="Q32" i="16"/>
  <c r="C47" i="16"/>
  <c r="U46" i="16" s="1"/>
  <c r="D45" i="16"/>
  <c r="D44" i="16"/>
  <c r="D43" i="16"/>
  <c r="U42" i="16"/>
  <c r="D42" i="16"/>
  <c r="U41" i="16"/>
  <c r="D41" i="16"/>
  <c r="U40" i="16"/>
  <c r="D40" i="16"/>
  <c r="D39" i="16"/>
  <c r="D38" i="16"/>
  <c r="D37" i="16"/>
  <c r="D36" i="16"/>
  <c r="D35" i="16"/>
  <c r="D34" i="16"/>
  <c r="U33" i="16"/>
  <c r="D32" i="16"/>
  <c r="D31" i="16"/>
  <c r="D30" i="16"/>
  <c r="Q21" i="16"/>
  <c r="D29" i="16"/>
  <c r="D28" i="16"/>
  <c r="D27" i="16"/>
  <c r="D26" i="16"/>
  <c r="D25" i="16"/>
  <c r="D24" i="16"/>
  <c r="D23" i="16"/>
  <c r="D22" i="16"/>
  <c r="D20" i="16"/>
  <c r="D19" i="16"/>
  <c r="D18" i="16"/>
  <c r="D17" i="16"/>
  <c r="D16" i="16"/>
  <c r="D15" i="16"/>
  <c r="D14" i="16"/>
  <c r="D13" i="16"/>
  <c r="D12" i="16"/>
  <c r="V11" i="16"/>
  <c r="V12" i="16" s="1"/>
  <c r="V13" i="16" s="1"/>
  <c r="V14" i="16" s="1"/>
  <c r="V15" i="16" s="1"/>
  <c r="V16" i="16" s="1"/>
  <c r="V17" i="16" s="1"/>
  <c r="V18" i="16" s="1"/>
  <c r="V19" i="16" s="1"/>
  <c r="V20" i="16" s="1"/>
  <c r="V21" i="16" s="1"/>
  <c r="V22" i="16" s="1"/>
  <c r="V31" i="16" s="1"/>
  <c r="V32" i="16" s="1"/>
  <c r="V33" i="16" s="1"/>
  <c r="V34" i="16" s="1"/>
  <c r="V35" i="16" s="1"/>
  <c r="V36" i="16" s="1"/>
  <c r="V37" i="16" s="1"/>
  <c r="V38" i="16" s="1"/>
  <c r="V39" i="16" s="1"/>
  <c r="V40" i="16" s="1"/>
  <c r="V41" i="16" s="1"/>
  <c r="V42" i="16" s="1"/>
  <c r="V43" i="16" s="1"/>
  <c r="V44" i="16" s="1"/>
  <c r="V45" i="16" s="1"/>
  <c r="V46" i="16" s="1"/>
  <c r="V47" i="16" s="1"/>
  <c r="D45" i="15"/>
  <c r="Q28" i="15"/>
  <c r="D10" i="15"/>
  <c r="D44" i="15"/>
  <c r="D43" i="15"/>
  <c r="D42" i="15"/>
  <c r="D41" i="15"/>
  <c r="D40" i="15"/>
  <c r="D38" i="15"/>
  <c r="D37" i="15"/>
  <c r="D36" i="15"/>
  <c r="D35" i="15"/>
  <c r="D33" i="15"/>
  <c r="D32" i="15"/>
  <c r="D29" i="15"/>
  <c r="D28" i="15"/>
  <c r="D27" i="15"/>
  <c r="D26" i="15"/>
  <c r="D25" i="15"/>
  <c r="D23" i="15"/>
  <c r="D22" i="15"/>
  <c r="D21" i="15"/>
  <c r="D20" i="15"/>
  <c r="D19" i="15"/>
  <c r="D18" i="15"/>
  <c r="D17" i="15"/>
  <c r="D15" i="15"/>
  <c r="D14" i="15"/>
  <c r="D13" i="15"/>
  <c r="D12" i="15"/>
  <c r="D11" i="15"/>
  <c r="V10" i="15"/>
  <c r="V11" i="15" s="1"/>
  <c r="V12" i="15" s="1"/>
  <c r="V13" i="15" s="1"/>
  <c r="V14" i="15" s="1"/>
  <c r="V15" i="15" s="1"/>
  <c r="G19" i="20" l="1"/>
  <c r="H19" i="20" s="1"/>
  <c r="H15" i="17"/>
  <c r="U12" i="16"/>
  <c r="U13" i="16"/>
  <c r="U14" i="16"/>
  <c r="U15" i="16"/>
  <c r="U16" i="16"/>
  <c r="U17" i="16"/>
  <c r="U18" i="16"/>
  <c r="U19" i="16"/>
  <c r="U20" i="16"/>
  <c r="U31" i="16"/>
  <c r="U32" i="16"/>
  <c r="U10" i="16"/>
  <c r="U11" i="16"/>
  <c r="U22" i="16"/>
  <c r="U35" i="16"/>
  <c r="U36" i="16"/>
  <c r="U37" i="16"/>
  <c r="U38" i="16"/>
  <c r="U44" i="16"/>
  <c r="U45" i="16"/>
  <c r="D47" i="16"/>
  <c r="F10" i="16" s="1"/>
  <c r="U47" i="16"/>
  <c r="U43" i="16"/>
  <c r="U39" i="16"/>
  <c r="U34" i="16"/>
  <c r="U21" i="16"/>
  <c r="C46" i="15"/>
  <c r="D16" i="15"/>
  <c r="V16" i="15"/>
  <c r="V17" i="15" s="1"/>
  <c r="V18" i="15" s="1"/>
  <c r="V19" i="15" s="1"/>
  <c r="V20" i="15" s="1"/>
  <c r="V21" i="15" s="1"/>
  <c r="V30" i="15" s="1"/>
  <c r="V31" i="15" s="1"/>
  <c r="V32" i="15" s="1"/>
  <c r="V33" i="15" s="1"/>
  <c r="V34" i="15" s="1"/>
  <c r="V35" i="15" s="1"/>
  <c r="V36" i="15" s="1"/>
  <c r="V37" i="15" s="1"/>
  <c r="V38" i="15" s="1"/>
  <c r="V39" i="15" s="1"/>
  <c r="V40" i="15" s="1"/>
  <c r="V41" i="15" s="1"/>
  <c r="V42" i="15" s="1"/>
  <c r="V43" i="15" s="1"/>
  <c r="V44" i="15" s="1"/>
  <c r="V45" i="15" s="1"/>
  <c r="V46" i="15" s="1"/>
  <c r="V47" i="15" s="1"/>
  <c r="D24" i="15"/>
  <c r="Q37" i="15"/>
  <c r="D30" i="15"/>
  <c r="Q46" i="15"/>
  <c r="D34" i="15"/>
  <c r="D39" i="15"/>
  <c r="D31" i="15"/>
  <c r="Y48" i="14"/>
  <c r="Y49" i="14"/>
  <c r="Y50" i="14"/>
  <c r="Y51" i="14"/>
  <c r="Y52" i="14"/>
  <c r="Y53" i="14"/>
  <c r="Y54" i="14"/>
  <c r="Y55" i="14"/>
  <c r="Y56" i="14"/>
  <c r="Y57" i="14"/>
  <c r="Y58" i="14"/>
  <c r="Y47" i="14"/>
  <c r="N48" i="14"/>
  <c r="N49" i="14"/>
  <c r="N50" i="14"/>
  <c r="N51" i="14"/>
  <c r="N52" i="14"/>
  <c r="N53" i="14"/>
  <c r="N54" i="14"/>
  <c r="N55" i="14"/>
  <c r="N56" i="14"/>
  <c r="N57" i="14"/>
  <c r="N58" i="14"/>
  <c r="N47" i="14"/>
  <c r="N34" i="14"/>
  <c r="N35" i="14"/>
  <c r="N36" i="14"/>
  <c r="N37" i="14"/>
  <c r="N38" i="14"/>
  <c r="N39" i="14"/>
  <c r="N40" i="14"/>
  <c r="N41" i="14"/>
  <c r="N42" i="14"/>
  <c r="N43" i="14"/>
  <c r="N44" i="14"/>
  <c r="N33" i="14"/>
  <c r="C11" i="14"/>
  <c r="C12" i="14"/>
  <c r="C13" i="14"/>
  <c r="C14" i="14"/>
  <c r="C15" i="14"/>
  <c r="C16" i="14"/>
  <c r="C17" i="14"/>
  <c r="C18" i="14"/>
  <c r="C19" i="14"/>
  <c r="C20" i="14"/>
  <c r="C21" i="14"/>
  <c r="C35" i="14"/>
  <c r="C10" i="14"/>
  <c r="C36" i="14"/>
  <c r="C38" i="14"/>
  <c r="C40" i="14"/>
  <c r="C42" i="14"/>
  <c r="C44" i="14"/>
  <c r="C48" i="14"/>
  <c r="C43" i="14"/>
  <c r="C41" i="14"/>
  <c r="C39" i="14"/>
  <c r="C37" i="14"/>
  <c r="C55" i="14"/>
  <c r="C51" i="14"/>
  <c r="C57" i="14"/>
  <c r="C53" i="14"/>
  <c r="C49" i="14"/>
  <c r="C58" i="14"/>
  <c r="C56" i="14"/>
  <c r="C54" i="14"/>
  <c r="C52" i="14"/>
  <c r="C50" i="14"/>
  <c r="AB48" i="14"/>
  <c r="AB49" i="14"/>
  <c r="AB51" i="14"/>
  <c r="AB52" i="14"/>
  <c r="AB53" i="14"/>
  <c r="AB54" i="14"/>
  <c r="AB55" i="14"/>
  <c r="AB56" i="14"/>
  <c r="AB57" i="14"/>
  <c r="AO54" i="14"/>
  <c r="AO39" i="14"/>
  <c r="Q48" i="14"/>
  <c r="Q49" i="14"/>
  <c r="Q50" i="14"/>
  <c r="Q52" i="14"/>
  <c r="Q53" i="14"/>
  <c r="Q54" i="14"/>
  <c r="Q55" i="14"/>
  <c r="Q56" i="14"/>
  <c r="Q57" i="14"/>
  <c r="Q34" i="14"/>
  <c r="Q35" i="14"/>
  <c r="Q36" i="14"/>
  <c r="Q37" i="14"/>
  <c r="Q38" i="14"/>
  <c r="Q39" i="14"/>
  <c r="Q40" i="14"/>
  <c r="Q41" i="14"/>
  <c r="Q42" i="14"/>
  <c r="Q43" i="14"/>
  <c r="Q51" i="14"/>
  <c r="AO20" i="14"/>
  <c r="F48" i="14"/>
  <c r="F49" i="14"/>
  <c r="F50" i="14"/>
  <c r="F51" i="14"/>
  <c r="F52" i="14"/>
  <c r="F53" i="14"/>
  <c r="F54" i="14"/>
  <c r="F55" i="14"/>
  <c r="F56" i="14"/>
  <c r="F57" i="14"/>
  <c r="F34" i="14"/>
  <c r="F35" i="14"/>
  <c r="F37" i="14"/>
  <c r="F38" i="14"/>
  <c r="F39" i="14"/>
  <c r="F40" i="14"/>
  <c r="F41" i="14"/>
  <c r="F42" i="14"/>
  <c r="F43" i="14"/>
  <c r="F11" i="14"/>
  <c r="F12" i="14"/>
  <c r="F13" i="14"/>
  <c r="F14" i="14"/>
  <c r="F16" i="14"/>
  <c r="F17" i="14"/>
  <c r="F18" i="14"/>
  <c r="F19" i="14"/>
  <c r="F20" i="14"/>
  <c r="AB50" i="14"/>
  <c r="F36" i="14"/>
  <c r="P59" i="14"/>
  <c r="E59" i="14"/>
  <c r="AA59" i="14"/>
  <c r="H59" i="11"/>
  <c r="H38" i="11"/>
  <c r="H27" i="11"/>
  <c r="AE56" i="10"/>
  <c r="V56" i="10"/>
  <c r="M56" i="10"/>
  <c r="M21" i="10"/>
  <c r="D56" i="10"/>
  <c r="D32" i="10"/>
  <c r="D21" i="10"/>
  <c r="D20" i="10"/>
  <c r="D9" i="10"/>
  <c r="L61" i="9"/>
  <c r="L26" i="9"/>
  <c r="L61" i="4"/>
  <c r="L50" i="4"/>
  <c r="L37" i="4"/>
  <c r="L26" i="4"/>
  <c r="D61" i="4"/>
  <c r="D49" i="4"/>
  <c r="D38" i="4"/>
  <c r="D37" i="4"/>
  <c r="D48" i="6"/>
  <c r="D38" i="6"/>
  <c r="D39" i="6"/>
  <c r="D28" i="6"/>
  <c r="AE45" i="10"/>
  <c r="C51" i="6"/>
  <c r="C53" i="6" s="1"/>
  <c r="L37" i="9"/>
  <c r="W67" i="9"/>
  <c r="W55" i="9"/>
  <c r="W43" i="9"/>
  <c r="W31" i="9"/>
  <c r="W21" i="9"/>
  <c r="K15" i="6"/>
  <c r="R53" i="14"/>
  <c r="R35" i="14"/>
  <c r="R43" i="14"/>
  <c r="R54" i="14"/>
  <c r="R34" i="14"/>
  <c r="R42" i="14"/>
  <c r="AO33" i="14" s="1"/>
  <c r="AO34" i="14" s="1"/>
  <c r="L62" i="9"/>
  <c r="W62" i="9"/>
  <c r="W38" i="9"/>
  <c r="W50" i="9"/>
  <c r="W16" i="9"/>
  <c r="W26" i="9"/>
  <c r="D72" i="9"/>
  <c r="D15" i="9"/>
  <c r="T76" i="12"/>
  <c r="T77" i="12"/>
  <c r="K14" i="12"/>
  <c r="K15" i="12"/>
  <c r="K16" i="12"/>
  <c r="K17" i="12"/>
  <c r="K18" i="12"/>
  <c r="K19" i="12"/>
  <c r="K20" i="12"/>
  <c r="K21" i="12"/>
  <c r="K22" i="12"/>
  <c r="K23" i="12"/>
  <c r="K24" i="12"/>
  <c r="K25" i="12"/>
  <c r="K26" i="12"/>
  <c r="K27" i="12"/>
  <c r="K28" i="12"/>
  <c r="K29" i="12"/>
  <c r="K30" i="12"/>
  <c r="K31" i="12"/>
  <c r="K32" i="12"/>
  <c r="K33" i="12"/>
  <c r="K34" i="12"/>
  <c r="K35" i="12"/>
  <c r="K36" i="12"/>
  <c r="K37" i="12"/>
  <c r="K38" i="12"/>
  <c r="K39" i="12"/>
  <c r="K40" i="12"/>
  <c r="K41" i="12"/>
  <c r="K42" i="12"/>
  <c r="K43" i="12"/>
  <c r="K44" i="12"/>
  <c r="K45" i="12"/>
  <c r="K46" i="12"/>
  <c r="K47" i="12"/>
  <c r="K48" i="12"/>
  <c r="K49" i="12"/>
  <c r="T59" i="12"/>
  <c r="T60" i="12"/>
  <c r="T42" i="12"/>
  <c r="T43" i="12"/>
  <c r="T26" i="12"/>
  <c r="T25" i="12"/>
  <c r="R38" i="14"/>
  <c r="R50" i="14"/>
  <c r="R58" i="14"/>
  <c r="R39" i="14"/>
  <c r="R49" i="14"/>
  <c r="R57" i="14"/>
  <c r="R44" i="14"/>
  <c r="R40" i="14"/>
  <c r="R36" i="14"/>
  <c r="R48" i="14"/>
  <c r="R52" i="14"/>
  <c r="R56" i="14"/>
  <c r="R33" i="14"/>
  <c r="S33" i="14" s="1"/>
  <c r="R41" i="14"/>
  <c r="R37" i="14"/>
  <c r="R47" i="14"/>
  <c r="R51" i="14"/>
  <c r="R55" i="14"/>
  <c r="C49" i="12"/>
  <c r="C48" i="12"/>
  <c r="D48" i="12"/>
  <c r="C47" i="12"/>
  <c r="D47" i="12"/>
  <c r="C46" i="12"/>
  <c r="D46" i="12"/>
  <c r="C45" i="12"/>
  <c r="D45" i="12"/>
  <c r="C44" i="12"/>
  <c r="D44" i="12"/>
  <c r="C43" i="12"/>
  <c r="D43" i="12"/>
  <c r="C42" i="12"/>
  <c r="D42" i="12"/>
  <c r="C41" i="12"/>
  <c r="D41" i="12"/>
  <c r="C40" i="12"/>
  <c r="D40" i="12"/>
  <c r="C39" i="12"/>
  <c r="D39" i="12"/>
  <c r="C38" i="12"/>
  <c r="C37" i="12"/>
  <c r="D37" i="12"/>
  <c r="C36" i="12"/>
  <c r="D36" i="12"/>
  <c r="C35" i="12"/>
  <c r="D35" i="12"/>
  <c r="C34" i="12"/>
  <c r="D34" i="12"/>
  <c r="C33" i="12"/>
  <c r="D33" i="12"/>
  <c r="C32" i="12"/>
  <c r="D32" i="12"/>
  <c r="C31" i="12"/>
  <c r="C30" i="12"/>
  <c r="D30" i="12"/>
  <c r="C29" i="12"/>
  <c r="D29" i="12"/>
  <c r="C28" i="12"/>
  <c r="D28" i="12"/>
  <c r="C27" i="12"/>
  <c r="D27" i="12"/>
  <c r="C26" i="12"/>
  <c r="C25" i="12"/>
  <c r="D25" i="12"/>
  <c r="C24" i="12"/>
  <c r="D24" i="12"/>
  <c r="C23" i="12"/>
  <c r="D23" i="12"/>
  <c r="C22" i="12"/>
  <c r="D22" i="12"/>
  <c r="C21" i="12"/>
  <c r="D21" i="12"/>
  <c r="C20" i="12"/>
  <c r="D19" i="12"/>
  <c r="D18" i="12"/>
  <c r="D17" i="12"/>
  <c r="D16" i="12"/>
  <c r="D15" i="12"/>
  <c r="D14" i="12"/>
  <c r="J16" i="6"/>
  <c r="J17" i="6"/>
  <c r="J18" i="6"/>
  <c r="J19" i="6"/>
  <c r="J20" i="6"/>
  <c r="J21" i="6"/>
  <c r="J22" i="6"/>
  <c r="J23" i="6"/>
  <c r="J24" i="6"/>
  <c r="J25" i="6"/>
  <c r="J15" i="6"/>
  <c r="C40" i="6"/>
  <c r="C41" i="6"/>
  <c r="C42" i="6"/>
  <c r="C43" i="6"/>
  <c r="C44" i="6"/>
  <c r="C45" i="6"/>
  <c r="C46" i="6"/>
  <c r="C47" i="6"/>
  <c r="C48" i="6"/>
  <c r="C49" i="6"/>
  <c r="C50" i="6"/>
  <c r="C39" i="6"/>
  <c r="C28" i="6"/>
  <c r="C29" i="6"/>
  <c r="C30" i="6"/>
  <c r="C31" i="6"/>
  <c r="C32" i="6"/>
  <c r="C33" i="6"/>
  <c r="C34" i="6"/>
  <c r="C35" i="6"/>
  <c r="C36" i="6"/>
  <c r="C37" i="6"/>
  <c r="C38" i="6"/>
  <c r="C21" i="6"/>
  <c r="I15" i="6"/>
  <c r="I16" i="6"/>
  <c r="I17" i="6"/>
  <c r="I18" i="6"/>
  <c r="I19" i="6"/>
  <c r="I20" i="6"/>
  <c r="C22" i="6"/>
  <c r="C23" i="6"/>
  <c r="C24" i="6"/>
  <c r="C25" i="6"/>
  <c r="C26" i="6"/>
  <c r="I23" i="6"/>
  <c r="I25" i="6"/>
  <c r="I22" i="6"/>
  <c r="I24" i="6"/>
  <c r="I26" i="6"/>
  <c r="T35" i="12"/>
  <c r="D26" i="12"/>
  <c r="T52" i="12"/>
  <c r="T73" i="12"/>
  <c r="C50" i="12"/>
  <c r="Y14" i="12"/>
  <c r="Y15" i="12"/>
  <c r="Y16" i="12"/>
  <c r="Y17" i="12"/>
  <c r="Y18" i="12"/>
  <c r="Y19" i="12"/>
  <c r="Y20" i="12"/>
  <c r="Y21" i="12"/>
  <c r="Y22" i="12"/>
  <c r="Y23" i="12"/>
  <c r="Y24" i="12"/>
  <c r="Y25" i="12"/>
  <c r="Y34" i="12"/>
  <c r="Y35" i="12"/>
  <c r="Y36" i="12"/>
  <c r="Y37" i="12"/>
  <c r="Y38" i="12"/>
  <c r="Y39" i="12"/>
  <c r="Y40" i="12"/>
  <c r="Y41" i="12"/>
  <c r="Y42" i="12"/>
  <c r="Y43" i="12"/>
  <c r="Y44" i="12"/>
  <c r="Y45" i="12"/>
  <c r="Y46" i="12"/>
  <c r="Y47" i="12"/>
  <c r="Y48" i="12"/>
  <c r="Y49" i="12"/>
  <c r="Y50" i="12"/>
  <c r="Y51" i="12"/>
  <c r="Y52" i="12"/>
  <c r="Y53" i="12"/>
  <c r="Y54" i="12"/>
  <c r="Y55" i="12"/>
  <c r="Y56" i="12"/>
  <c r="Y57" i="12"/>
  <c r="D50" i="12"/>
  <c r="F13" i="12"/>
  <c r="U33" i="10"/>
  <c r="E15" i="12"/>
  <c r="E17" i="12"/>
  <c r="E19" i="12"/>
  <c r="E21" i="12"/>
  <c r="E23" i="12"/>
  <c r="E25" i="12"/>
  <c r="E27" i="12"/>
  <c r="E29" i="12"/>
  <c r="E31" i="12"/>
  <c r="E33" i="12"/>
  <c r="E35" i="12"/>
  <c r="E37" i="12"/>
  <c r="E16" i="12"/>
  <c r="E18" i="12"/>
  <c r="E20" i="12"/>
  <c r="E22" i="12"/>
  <c r="E24" i="12"/>
  <c r="E26" i="12"/>
  <c r="E28" i="12"/>
  <c r="E30" i="12"/>
  <c r="E32" i="12"/>
  <c r="E34" i="12"/>
  <c r="E36" i="12"/>
  <c r="E14" i="12"/>
  <c r="H13" i="12"/>
  <c r="F14" i="12"/>
  <c r="X57" i="12"/>
  <c r="X56" i="12"/>
  <c r="X55" i="12"/>
  <c r="X54" i="12"/>
  <c r="X53" i="12"/>
  <c r="X52" i="12"/>
  <c r="X50" i="12"/>
  <c r="X46" i="12"/>
  <c r="X42" i="12"/>
  <c r="X40" i="12"/>
  <c r="X39" i="12"/>
  <c r="X38" i="12"/>
  <c r="X36" i="12"/>
  <c r="X35" i="12"/>
  <c r="X51" i="12"/>
  <c r="X49" i="12"/>
  <c r="X48" i="12"/>
  <c r="X47" i="12"/>
  <c r="X45" i="12"/>
  <c r="X44" i="12"/>
  <c r="X43" i="12"/>
  <c r="X41" i="12"/>
  <c r="X37" i="12"/>
  <c r="X25" i="12"/>
  <c r="X21" i="12"/>
  <c r="X17" i="12"/>
  <c r="X34" i="12"/>
  <c r="X24" i="12"/>
  <c r="X23" i="12"/>
  <c r="X22" i="12"/>
  <c r="X20" i="12"/>
  <c r="X19" i="12"/>
  <c r="X18" i="12"/>
  <c r="X16" i="12"/>
  <c r="X15" i="12"/>
  <c r="X14" i="12"/>
  <c r="X13" i="12"/>
  <c r="G24" i="11"/>
  <c r="G23" i="11"/>
  <c r="G22" i="11"/>
  <c r="G21" i="11"/>
  <c r="G20" i="11"/>
  <c r="G19" i="11"/>
  <c r="G18" i="11"/>
  <c r="G17" i="11"/>
  <c r="G16" i="11"/>
  <c r="G15" i="11"/>
  <c r="G14" i="11"/>
  <c r="G13" i="11"/>
  <c r="G28" i="11"/>
  <c r="H28" i="11"/>
  <c r="G29" i="11"/>
  <c r="G30" i="11"/>
  <c r="H30" i="11"/>
  <c r="G31" i="11"/>
  <c r="H31" i="11"/>
  <c r="G32" i="11"/>
  <c r="H32" i="11"/>
  <c r="G33" i="11"/>
  <c r="H33" i="11"/>
  <c r="G34" i="11"/>
  <c r="H34" i="11"/>
  <c r="G35" i="11"/>
  <c r="H35" i="11"/>
  <c r="G36" i="11"/>
  <c r="H36" i="11"/>
  <c r="G37" i="11"/>
  <c r="H37" i="11"/>
  <c r="G38" i="11"/>
  <c r="G39" i="11"/>
  <c r="G40" i="11"/>
  <c r="H40" i="11"/>
  <c r="G41" i="11"/>
  <c r="H41" i="11"/>
  <c r="G42" i="11"/>
  <c r="H42" i="11"/>
  <c r="G43" i="11"/>
  <c r="H43" i="11"/>
  <c r="G44" i="11"/>
  <c r="G45" i="11"/>
  <c r="H45" i="11"/>
  <c r="G46" i="11"/>
  <c r="H46" i="11"/>
  <c r="G47" i="11"/>
  <c r="H47" i="11"/>
  <c r="G48" i="11"/>
  <c r="H48" i="11"/>
  <c r="G49" i="11"/>
  <c r="H49" i="11"/>
  <c r="G50" i="11"/>
  <c r="H50" i="11"/>
  <c r="G51" i="11"/>
  <c r="G52" i="11"/>
  <c r="H52" i="11"/>
  <c r="G53" i="11"/>
  <c r="H53" i="11"/>
  <c r="G54" i="11"/>
  <c r="H54" i="11"/>
  <c r="G55" i="11"/>
  <c r="H55" i="11"/>
  <c r="G56" i="11"/>
  <c r="H56" i="11"/>
  <c r="G57" i="11"/>
  <c r="H57" i="11"/>
  <c r="G58" i="11"/>
  <c r="H58" i="11"/>
  <c r="G59" i="11"/>
  <c r="G27" i="11"/>
  <c r="H44" i="11"/>
  <c r="U57" i="11"/>
  <c r="G25" i="11"/>
  <c r="U22" i="11"/>
  <c r="U23" i="11"/>
  <c r="F15" i="12"/>
  <c r="F16" i="12"/>
  <c r="F17" i="12"/>
  <c r="F18" i="12"/>
  <c r="F19" i="12"/>
  <c r="F20" i="12"/>
  <c r="F21" i="12"/>
  <c r="F22" i="12"/>
  <c r="F23" i="12"/>
  <c r="F24" i="12"/>
  <c r="F25" i="12"/>
  <c r="F26" i="12"/>
  <c r="F27" i="12"/>
  <c r="F28" i="12"/>
  <c r="F29" i="12"/>
  <c r="F30" i="12"/>
  <c r="F31" i="12"/>
  <c r="F32" i="12"/>
  <c r="F33" i="12"/>
  <c r="F34" i="12"/>
  <c r="F35" i="12"/>
  <c r="F36" i="12"/>
  <c r="F37" i="12"/>
  <c r="T29" i="12"/>
  <c r="T30" i="12"/>
  <c r="T14" i="12"/>
  <c r="G14" i="12"/>
  <c r="U37" i="11"/>
  <c r="G60" i="11"/>
  <c r="H29" i="11"/>
  <c r="H51" i="11"/>
  <c r="U45" i="11"/>
  <c r="H39" i="11"/>
  <c r="E40" i="12"/>
  <c r="E42" i="12"/>
  <c r="E44" i="12"/>
  <c r="E46" i="12"/>
  <c r="E48" i="12"/>
  <c r="E38" i="12"/>
  <c r="E39" i="12"/>
  <c r="E41" i="12"/>
  <c r="E43" i="12"/>
  <c r="E45" i="12"/>
  <c r="E47" i="12"/>
  <c r="E49" i="12"/>
  <c r="H14" i="12"/>
  <c r="T46" i="12"/>
  <c r="T47" i="12"/>
  <c r="H60" i="11"/>
  <c r="G15" i="12"/>
  <c r="H15" i="12"/>
  <c r="G16" i="12"/>
  <c r="H16" i="12"/>
  <c r="V26" i="6"/>
  <c r="V27" i="6"/>
  <c r="G17" i="12"/>
  <c r="H17" i="12"/>
  <c r="G18" i="12"/>
  <c r="H18" i="12"/>
  <c r="AD46" i="10"/>
  <c r="AD47" i="10"/>
  <c r="AE47" i="10"/>
  <c r="AD48" i="10"/>
  <c r="AE48" i="10"/>
  <c r="AD49" i="10"/>
  <c r="AE49" i="10"/>
  <c r="AD50" i="10"/>
  <c r="AE50" i="10"/>
  <c r="AD51" i="10"/>
  <c r="AE51" i="10"/>
  <c r="AD52" i="10"/>
  <c r="AE52" i="10"/>
  <c r="AD53" i="10"/>
  <c r="AE53" i="10"/>
  <c r="AD54" i="10"/>
  <c r="AE54" i="10"/>
  <c r="AD55" i="10"/>
  <c r="AE55" i="10"/>
  <c r="AD56" i="10"/>
  <c r="AD45" i="10"/>
  <c r="U34" i="10"/>
  <c r="U35" i="10"/>
  <c r="V35" i="10"/>
  <c r="U36" i="10"/>
  <c r="V36" i="10"/>
  <c r="U37" i="10"/>
  <c r="V37" i="10"/>
  <c r="U38" i="10"/>
  <c r="V38" i="10"/>
  <c r="U39" i="10"/>
  <c r="V39" i="10"/>
  <c r="U40" i="10"/>
  <c r="V40" i="10"/>
  <c r="U41" i="10"/>
  <c r="V41" i="10"/>
  <c r="U42" i="10"/>
  <c r="V42" i="10"/>
  <c r="U43" i="10"/>
  <c r="V43" i="10"/>
  <c r="U44" i="10"/>
  <c r="V44" i="10"/>
  <c r="U45" i="10"/>
  <c r="V45" i="10"/>
  <c r="U46" i="10"/>
  <c r="V46" i="10"/>
  <c r="U47" i="10"/>
  <c r="V47" i="10"/>
  <c r="U48" i="10"/>
  <c r="V48" i="10"/>
  <c r="U49" i="10"/>
  <c r="V49" i="10"/>
  <c r="U50" i="10"/>
  <c r="V50" i="10"/>
  <c r="U51" i="10"/>
  <c r="V51" i="10"/>
  <c r="U52" i="10"/>
  <c r="V52" i="10"/>
  <c r="U53" i="10"/>
  <c r="V53" i="10"/>
  <c r="U54" i="10"/>
  <c r="V54" i="10"/>
  <c r="U55" i="10"/>
  <c r="V55" i="10"/>
  <c r="U56" i="10"/>
  <c r="V33" i="10"/>
  <c r="L22" i="10"/>
  <c r="L23" i="10"/>
  <c r="M23" i="10"/>
  <c r="L24" i="10"/>
  <c r="M24" i="10"/>
  <c r="L25" i="10"/>
  <c r="M25" i="10"/>
  <c r="L26" i="10"/>
  <c r="M26" i="10"/>
  <c r="L27" i="10"/>
  <c r="M27" i="10"/>
  <c r="L28" i="10"/>
  <c r="M28" i="10"/>
  <c r="L29" i="10"/>
  <c r="M29" i="10"/>
  <c r="L30" i="10"/>
  <c r="M30" i="10"/>
  <c r="L31" i="10"/>
  <c r="M31" i="10"/>
  <c r="L32" i="10"/>
  <c r="M32" i="10"/>
  <c r="L33" i="10"/>
  <c r="M33" i="10"/>
  <c r="L34" i="10"/>
  <c r="M34" i="10"/>
  <c r="L35" i="10"/>
  <c r="M35" i="10"/>
  <c r="L36" i="10"/>
  <c r="M36" i="10"/>
  <c r="L37" i="10"/>
  <c r="M37" i="10"/>
  <c r="L38" i="10"/>
  <c r="M38" i="10"/>
  <c r="L39" i="10"/>
  <c r="M39" i="10"/>
  <c r="L40" i="10"/>
  <c r="M40" i="10"/>
  <c r="L41" i="10"/>
  <c r="M41" i="10"/>
  <c r="L42" i="10"/>
  <c r="M42" i="10"/>
  <c r="L43" i="10"/>
  <c r="M43" i="10"/>
  <c r="L44" i="10"/>
  <c r="M44" i="10"/>
  <c r="L45" i="10"/>
  <c r="M45" i="10"/>
  <c r="L46" i="10"/>
  <c r="M46" i="10"/>
  <c r="L47" i="10"/>
  <c r="M47" i="10"/>
  <c r="L48" i="10"/>
  <c r="M48" i="10"/>
  <c r="L49" i="10"/>
  <c r="M49" i="10"/>
  <c r="L50" i="10"/>
  <c r="M50" i="10"/>
  <c r="L51" i="10"/>
  <c r="M51" i="10"/>
  <c r="L52" i="10"/>
  <c r="M52" i="10"/>
  <c r="L53" i="10"/>
  <c r="M53" i="10"/>
  <c r="L54" i="10"/>
  <c r="M54" i="10"/>
  <c r="L55" i="10"/>
  <c r="M55" i="10"/>
  <c r="L56" i="10"/>
  <c r="L21" i="10"/>
  <c r="C56" i="10"/>
  <c r="C10" i="10"/>
  <c r="D10" i="10"/>
  <c r="C11" i="10"/>
  <c r="D11" i="10"/>
  <c r="C12" i="10"/>
  <c r="D12" i="10"/>
  <c r="C13" i="10"/>
  <c r="D13" i="10"/>
  <c r="C14" i="10"/>
  <c r="D14" i="10"/>
  <c r="C15" i="10"/>
  <c r="D15" i="10"/>
  <c r="C16" i="10"/>
  <c r="D16" i="10"/>
  <c r="C17" i="10"/>
  <c r="D17" i="10"/>
  <c r="C18" i="10"/>
  <c r="D18" i="10"/>
  <c r="C19" i="10"/>
  <c r="D19" i="10"/>
  <c r="C20" i="10"/>
  <c r="C21" i="10"/>
  <c r="C22" i="10"/>
  <c r="D22" i="10"/>
  <c r="C23" i="10"/>
  <c r="D23" i="10"/>
  <c r="C24" i="10"/>
  <c r="D24" i="10"/>
  <c r="C25" i="10"/>
  <c r="D25" i="10"/>
  <c r="C26" i="10"/>
  <c r="C27" i="10"/>
  <c r="D27" i="10"/>
  <c r="C28" i="10"/>
  <c r="D28" i="10"/>
  <c r="C29" i="10"/>
  <c r="D29" i="10"/>
  <c r="C30" i="10"/>
  <c r="D30" i="10"/>
  <c r="C31" i="10"/>
  <c r="D31" i="10"/>
  <c r="C32" i="10"/>
  <c r="C33" i="10"/>
  <c r="D33" i="10"/>
  <c r="C34" i="10"/>
  <c r="D34" i="10"/>
  <c r="C35" i="10"/>
  <c r="D35" i="10"/>
  <c r="C36" i="10"/>
  <c r="D36" i="10"/>
  <c r="C37" i="10"/>
  <c r="D37" i="10"/>
  <c r="C38" i="10"/>
  <c r="D38" i="10"/>
  <c r="C39" i="10"/>
  <c r="D39" i="10"/>
  <c r="C40" i="10"/>
  <c r="D40" i="10"/>
  <c r="C41" i="10"/>
  <c r="D41" i="10"/>
  <c r="C42" i="10"/>
  <c r="D42" i="10"/>
  <c r="C43" i="10"/>
  <c r="D43" i="10"/>
  <c r="C44" i="10"/>
  <c r="D44" i="10"/>
  <c r="C45" i="10"/>
  <c r="D45" i="10"/>
  <c r="C46" i="10"/>
  <c r="D46" i="10"/>
  <c r="C47" i="10"/>
  <c r="D47" i="10"/>
  <c r="C48" i="10"/>
  <c r="D48" i="10"/>
  <c r="C49" i="10"/>
  <c r="D49" i="10"/>
  <c r="C50" i="10"/>
  <c r="D50" i="10"/>
  <c r="C51" i="10"/>
  <c r="D51" i="10"/>
  <c r="C52" i="10"/>
  <c r="D52" i="10"/>
  <c r="C53" i="10"/>
  <c r="D53" i="10"/>
  <c r="C54" i="10"/>
  <c r="D54" i="10"/>
  <c r="C55" i="10"/>
  <c r="D55" i="10"/>
  <c r="C9" i="10"/>
  <c r="AR19" i="10"/>
  <c r="D26" i="10"/>
  <c r="AR31" i="10"/>
  <c r="AR55" i="10"/>
  <c r="AR43" i="10"/>
  <c r="G19" i="12"/>
  <c r="H19" i="12"/>
  <c r="M22" i="10"/>
  <c r="V34" i="10"/>
  <c r="V57" i="10"/>
  <c r="Z32" i="10"/>
  <c r="AE46" i="10"/>
  <c r="AD57" i="10"/>
  <c r="U57" i="10"/>
  <c r="L57" i="10"/>
  <c r="C57" i="10"/>
  <c r="D57" i="10"/>
  <c r="K27" i="9"/>
  <c r="L27" i="9"/>
  <c r="K28" i="9"/>
  <c r="L28" i="9"/>
  <c r="K29" i="9"/>
  <c r="L29" i="9"/>
  <c r="K30" i="9"/>
  <c r="L30" i="9"/>
  <c r="K31" i="9"/>
  <c r="L31" i="9"/>
  <c r="K32" i="9"/>
  <c r="K33" i="9"/>
  <c r="L33" i="9"/>
  <c r="K34" i="9"/>
  <c r="K35" i="9"/>
  <c r="L35" i="9"/>
  <c r="K36" i="9"/>
  <c r="L36" i="9"/>
  <c r="K37" i="9"/>
  <c r="K38" i="9"/>
  <c r="K39" i="9"/>
  <c r="L39" i="9"/>
  <c r="K40" i="9"/>
  <c r="L40" i="9"/>
  <c r="K41" i="9"/>
  <c r="L41" i="9"/>
  <c r="K42" i="9"/>
  <c r="L42" i="9"/>
  <c r="K43" i="9"/>
  <c r="L43" i="9"/>
  <c r="K44" i="9"/>
  <c r="L44" i="9"/>
  <c r="K45" i="9"/>
  <c r="L45" i="9"/>
  <c r="K46" i="9"/>
  <c r="K47" i="9"/>
  <c r="L47" i="9"/>
  <c r="K48" i="9"/>
  <c r="K49" i="9"/>
  <c r="L49" i="9"/>
  <c r="K50" i="9"/>
  <c r="K51" i="9"/>
  <c r="L51" i="9"/>
  <c r="K52" i="9"/>
  <c r="K53" i="9"/>
  <c r="L53" i="9"/>
  <c r="K54" i="9"/>
  <c r="K55" i="9"/>
  <c r="L55" i="9"/>
  <c r="K56" i="9"/>
  <c r="L56" i="9"/>
  <c r="K57" i="9"/>
  <c r="K58" i="9"/>
  <c r="L58" i="9"/>
  <c r="K59" i="9"/>
  <c r="L59" i="9"/>
  <c r="K60" i="9"/>
  <c r="L60" i="9"/>
  <c r="K61" i="9"/>
  <c r="K26" i="9"/>
  <c r="C73" i="9"/>
  <c r="D73" i="9"/>
  <c r="C72" i="9"/>
  <c r="C71" i="9"/>
  <c r="D71" i="9"/>
  <c r="C70" i="9"/>
  <c r="D70" i="9"/>
  <c r="C69" i="9"/>
  <c r="D69" i="9"/>
  <c r="C68" i="9"/>
  <c r="D68" i="9"/>
  <c r="C67" i="9"/>
  <c r="D67" i="9"/>
  <c r="C66" i="9"/>
  <c r="D66" i="9"/>
  <c r="C65" i="9"/>
  <c r="D65" i="9"/>
  <c r="C64" i="9"/>
  <c r="D64" i="9"/>
  <c r="C63" i="9"/>
  <c r="D63" i="9"/>
  <c r="C62" i="9"/>
  <c r="D62" i="9"/>
  <c r="C61" i="9"/>
  <c r="D61" i="9"/>
  <c r="C60" i="9"/>
  <c r="D60" i="9"/>
  <c r="C59" i="9"/>
  <c r="D59" i="9"/>
  <c r="C58" i="9"/>
  <c r="D58" i="9"/>
  <c r="L57" i="9"/>
  <c r="C57" i="9"/>
  <c r="D57" i="9"/>
  <c r="C56" i="9"/>
  <c r="D56" i="9"/>
  <c r="C55" i="9"/>
  <c r="D55" i="9"/>
  <c r="L54" i="9"/>
  <c r="C54" i="9"/>
  <c r="D54" i="9"/>
  <c r="C53" i="9"/>
  <c r="D53" i="9"/>
  <c r="L52" i="9"/>
  <c r="C52" i="9"/>
  <c r="D52" i="9"/>
  <c r="C51" i="9"/>
  <c r="D51" i="9"/>
  <c r="C50" i="9"/>
  <c r="C49" i="9"/>
  <c r="D49" i="9"/>
  <c r="L48" i="9"/>
  <c r="C48" i="9"/>
  <c r="D48" i="9"/>
  <c r="C47" i="9"/>
  <c r="D47" i="9"/>
  <c r="L46" i="9"/>
  <c r="C46" i="9"/>
  <c r="D46" i="9"/>
  <c r="C45" i="9"/>
  <c r="D45" i="9"/>
  <c r="C44" i="9"/>
  <c r="D44" i="9"/>
  <c r="C43" i="9"/>
  <c r="D43" i="9"/>
  <c r="C42" i="9"/>
  <c r="D42" i="9"/>
  <c r="C41" i="9"/>
  <c r="D41" i="9"/>
  <c r="C40" i="9"/>
  <c r="D40" i="9"/>
  <c r="C39" i="9"/>
  <c r="D39" i="9"/>
  <c r="C38" i="9"/>
  <c r="D38" i="9"/>
  <c r="C37" i="9"/>
  <c r="D37" i="9"/>
  <c r="C36" i="9"/>
  <c r="D36" i="9"/>
  <c r="C35" i="9"/>
  <c r="D35" i="9"/>
  <c r="L34" i="9"/>
  <c r="C34" i="9"/>
  <c r="D34" i="9"/>
  <c r="C33" i="9"/>
  <c r="D33" i="9"/>
  <c r="L32" i="9"/>
  <c r="C32" i="9"/>
  <c r="D32" i="9"/>
  <c r="C31" i="9"/>
  <c r="D31" i="9"/>
  <c r="C30" i="9"/>
  <c r="D30" i="9"/>
  <c r="C29" i="9"/>
  <c r="D29" i="9"/>
  <c r="C28" i="9"/>
  <c r="D28" i="9"/>
  <c r="C27" i="9"/>
  <c r="D27" i="9"/>
  <c r="C26" i="9"/>
  <c r="D26" i="9"/>
  <c r="C24" i="9"/>
  <c r="D24" i="9"/>
  <c r="C23" i="9"/>
  <c r="D23" i="9"/>
  <c r="C22" i="9"/>
  <c r="D22" i="9"/>
  <c r="C21" i="9"/>
  <c r="D21" i="9"/>
  <c r="C20" i="9"/>
  <c r="D20" i="9"/>
  <c r="C19" i="9"/>
  <c r="D19" i="9"/>
  <c r="C18" i="9"/>
  <c r="D18" i="9"/>
  <c r="C17" i="9"/>
  <c r="D17" i="9"/>
  <c r="C16" i="9"/>
  <c r="D16" i="9"/>
  <c r="C15" i="9"/>
  <c r="C14" i="9"/>
  <c r="D14" i="9"/>
  <c r="C13" i="9"/>
  <c r="AE57" i="10"/>
  <c r="AI44" i="10"/>
  <c r="M57" i="10"/>
  <c r="Q20" i="10"/>
  <c r="W32" i="9"/>
  <c r="D13" i="9"/>
  <c r="W22" i="9"/>
  <c r="W68" i="9"/>
  <c r="D50" i="9"/>
  <c r="W44" i="9"/>
  <c r="W56" i="9"/>
  <c r="AK36" i="9"/>
  <c r="AK56" i="9"/>
  <c r="L38" i="9"/>
  <c r="AK44" i="9"/>
  <c r="G20" i="12"/>
  <c r="H20" i="12"/>
  <c r="AR9" i="10"/>
  <c r="AR10" i="10"/>
  <c r="E11" i="10"/>
  <c r="E13" i="10"/>
  <c r="E15" i="10"/>
  <c r="E17" i="10"/>
  <c r="E19" i="10"/>
  <c r="E21" i="10"/>
  <c r="E23" i="10"/>
  <c r="E25" i="10"/>
  <c r="E27" i="10"/>
  <c r="E29" i="10"/>
  <c r="E31" i="10"/>
  <c r="E33" i="10"/>
  <c r="E35" i="10"/>
  <c r="E37" i="10"/>
  <c r="E39" i="10"/>
  <c r="E41" i="10"/>
  <c r="E43" i="10"/>
  <c r="E45" i="10"/>
  <c r="E47" i="10"/>
  <c r="E49" i="10"/>
  <c r="E51" i="10"/>
  <c r="E53" i="10"/>
  <c r="E55" i="10"/>
  <c r="E9" i="10"/>
  <c r="E10" i="10"/>
  <c r="E14" i="10"/>
  <c r="E18" i="10"/>
  <c r="E22" i="10"/>
  <c r="E26" i="10"/>
  <c r="E30" i="10"/>
  <c r="E34" i="10"/>
  <c r="E38" i="10"/>
  <c r="E42" i="10"/>
  <c r="E46" i="10"/>
  <c r="E50" i="10"/>
  <c r="E54" i="10"/>
  <c r="G9" i="10"/>
  <c r="H9" i="10"/>
  <c r="G10" i="10"/>
  <c r="E12" i="10"/>
  <c r="E16" i="10"/>
  <c r="E20" i="10"/>
  <c r="E24" i="10"/>
  <c r="E28" i="10"/>
  <c r="E32" i="10"/>
  <c r="E36" i="10"/>
  <c r="E40" i="10"/>
  <c r="E44" i="10"/>
  <c r="E48" i="10"/>
  <c r="E52" i="10"/>
  <c r="E56" i="10"/>
  <c r="Y33" i="10"/>
  <c r="AH45" i="10"/>
  <c r="AI45" i="10"/>
  <c r="AH46" i="10"/>
  <c r="C74" i="9"/>
  <c r="AD38" i="9"/>
  <c r="AD39" i="9"/>
  <c r="K62" i="9"/>
  <c r="AD50" i="9"/>
  <c r="AD51" i="9"/>
  <c r="L50" i="9"/>
  <c r="AD26" i="9"/>
  <c r="AD27" i="9"/>
  <c r="Q27" i="1"/>
  <c r="AC27" i="1"/>
  <c r="V24" i="1"/>
  <c r="Q24" i="1"/>
  <c r="AC24" i="1"/>
  <c r="AB23" i="1"/>
  <c r="P23" i="1"/>
  <c r="W20" i="1"/>
  <c r="P20" i="1"/>
  <c r="AB20" i="1"/>
  <c r="W19" i="1"/>
  <c r="P19" i="1"/>
  <c r="AB19" i="1"/>
  <c r="AC16" i="1"/>
  <c r="Q16" i="1"/>
  <c r="W15" i="1"/>
  <c r="P15" i="1"/>
  <c r="AB15" i="1"/>
  <c r="W14" i="1"/>
  <c r="P14" i="1"/>
  <c r="AB14" i="1"/>
  <c r="V11" i="1"/>
  <c r="Q11" i="1"/>
  <c r="AC11" i="1"/>
  <c r="W10" i="1"/>
  <c r="P10" i="1"/>
  <c r="AB10" i="1"/>
  <c r="V7" i="1"/>
  <c r="Q7" i="1"/>
  <c r="AC7" i="1"/>
  <c r="W6" i="1"/>
  <c r="P6" i="1"/>
  <c r="AB6" i="1"/>
  <c r="P21" i="10"/>
  <c r="Q21" i="10"/>
  <c r="P22" i="10"/>
  <c r="Q22" i="10"/>
  <c r="Z33" i="10"/>
  <c r="Y34" i="10"/>
  <c r="N25" i="9"/>
  <c r="AK27" i="9"/>
  <c r="G21" i="12"/>
  <c r="H21" i="12"/>
  <c r="T13" i="12"/>
  <c r="AR13" i="10"/>
  <c r="AR14" i="10"/>
  <c r="F9" i="10"/>
  <c r="D74" i="9"/>
  <c r="F12" i="9"/>
  <c r="AK50" i="9"/>
  <c r="AK51" i="9"/>
  <c r="AK30" i="9"/>
  <c r="AK31" i="9"/>
  <c r="M26" i="9"/>
  <c r="N26" i="9"/>
  <c r="AK26" i="9"/>
  <c r="AK38" i="9"/>
  <c r="AK39" i="9"/>
  <c r="H12" i="9"/>
  <c r="C21" i="8"/>
  <c r="C22" i="8"/>
  <c r="D22" i="8"/>
  <c r="C23" i="8"/>
  <c r="C24" i="8"/>
  <c r="D24" i="8"/>
  <c r="C25" i="8"/>
  <c r="C26" i="8"/>
  <c r="D26" i="8"/>
  <c r="C27" i="8"/>
  <c r="C28" i="8"/>
  <c r="D28" i="8"/>
  <c r="C29" i="8"/>
  <c r="C30" i="8"/>
  <c r="D30" i="8"/>
  <c r="C31" i="8"/>
  <c r="C32" i="8"/>
  <c r="W38" i="8"/>
  <c r="C33" i="8"/>
  <c r="C34" i="8"/>
  <c r="D34" i="8"/>
  <c r="C35" i="8"/>
  <c r="C36" i="8"/>
  <c r="D36" i="8"/>
  <c r="C37" i="8"/>
  <c r="C38" i="8"/>
  <c r="D38" i="8"/>
  <c r="C39" i="8"/>
  <c r="C40" i="8"/>
  <c r="D40" i="8"/>
  <c r="C41" i="8"/>
  <c r="C42" i="8"/>
  <c r="D42" i="8"/>
  <c r="C43" i="8"/>
  <c r="C20" i="8"/>
  <c r="C92" i="8"/>
  <c r="D92" i="8"/>
  <c r="C91" i="8"/>
  <c r="D91" i="8"/>
  <c r="D90" i="8"/>
  <c r="C90" i="8"/>
  <c r="D89" i="8"/>
  <c r="C89" i="8"/>
  <c r="D88" i="8"/>
  <c r="C88" i="8"/>
  <c r="C87" i="8"/>
  <c r="D87" i="8"/>
  <c r="D86" i="8"/>
  <c r="C86" i="8"/>
  <c r="C85" i="8"/>
  <c r="D85" i="8"/>
  <c r="C84" i="8"/>
  <c r="D84" i="8"/>
  <c r="C83" i="8"/>
  <c r="D83" i="8"/>
  <c r="C82" i="8"/>
  <c r="D82" i="8"/>
  <c r="D81" i="8"/>
  <c r="C81" i="8"/>
  <c r="W87" i="8"/>
  <c r="L80" i="8"/>
  <c r="K80" i="8"/>
  <c r="D80" i="8"/>
  <c r="C80" i="8"/>
  <c r="L79" i="8"/>
  <c r="K79" i="8"/>
  <c r="D79" i="8"/>
  <c r="C79" i="8"/>
  <c r="L78" i="8"/>
  <c r="K78" i="8"/>
  <c r="D78" i="8"/>
  <c r="C78" i="8"/>
  <c r="L77" i="8"/>
  <c r="K77" i="8"/>
  <c r="D77" i="8"/>
  <c r="C77" i="8"/>
  <c r="L76" i="8"/>
  <c r="K76" i="8"/>
  <c r="D76" i="8"/>
  <c r="C76" i="8"/>
  <c r="K75" i="8"/>
  <c r="L75" i="8"/>
  <c r="C75" i="8"/>
  <c r="D75" i="8"/>
  <c r="L74" i="8"/>
  <c r="K74" i="8"/>
  <c r="D74" i="8"/>
  <c r="C74" i="8"/>
  <c r="L73" i="8"/>
  <c r="K73" i="8"/>
  <c r="D73" i="8"/>
  <c r="C73" i="8"/>
  <c r="L72" i="8"/>
  <c r="K72" i="8"/>
  <c r="D72" i="8"/>
  <c r="C72" i="8"/>
  <c r="K71" i="8"/>
  <c r="L71" i="8"/>
  <c r="C71" i="8"/>
  <c r="D71" i="8"/>
  <c r="L70" i="8"/>
  <c r="K70" i="8"/>
  <c r="D70" i="8"/>
  <c r="C70" i="8"/>
  <c r="K69" i="8"/>
  <c r="C69" i="8"/>
  <c r="D69" i="8"/>
  <c r="K68" i="8"/>
  <c r="L68" i="8"/>
  <c r="C68" i="8"/>
  <c r="D68" i="8"/>
  <c r="K67" i="8"/>
  <c r="L67" i="8"/>
  <c r="C67" i="8"/>
  <c r="D67" i="8"/>
  <c r="K66" i="8"/>
  <c r="L66" i="8"/>
  <c r="C66" i="8"/>
  <c r="D66" i="8"/>
  <c r="L65" i="8"/>
  <c r="K65" i="8"/>
  <c r="D65" i="8"/>
  <c r="C65" i="8"/>
  <c r="K64" i="8"/>
  <c r="L64" i="8"/>
  <c r="C64" i="8"/>
  <c r="D64" i="8"/>
  <c r="K63" i="8"/>
  <c r="L63" i="8"/>
  <c r="C63" i="8"/>
  <c r="D63" i="8"/>
  <c r="K62" i="8"/>
  <c r="L62" i="8"/>
  <c r="C62" i="8"/>
  <c r="D62" i="8"/>
  <c r="L61" i="8"/>
  <c r="K61" i="8"/>
  <c r="D61" i="8"/>
  <c r="C61" i="8"/>
  <c r="K60" i="8"/>
  <c r="L60" i="8"/>
  <c r="C60" i="8"/>
  <c r="D60" i="8"/>
  <c r="L59" i="8"/>
  <c r="K59" i="8"/>
  <c r="D59" i="8"/>
  <c r="C59" i="8"/>
  <c r="L58" i="8"/>
  <c r="K58" i="8"/>
  <c r="D58" i="8"/>
  <c r="C58" i="8"/>
  <c r="L57" i="8"/>
  <c r="K57" i="8"/>
  <c r="AI61" i="8"/>
  <c r="D57" i="8"/>
  <c r="C57" i="8"/>
  <c r="W61" i="8"/>
  <c r="K56" i="8"/>
  <c r="L56" i="8"/>
  <c r="C56" i="8"/>
  <c r="D56" i="8"/>
  <c r="L55" i="8"/>
  <c r="K55" i="8"/>
  <c r="D55" i="8"/>
  <c r="C55" i="8"/>
  <c r="L54" i="8"/>
  <c r="K54" i="8"/>
  <c r="D54" i="8"/>
  <c r="C54" i="8"/>
  <c r="L53" i="8"/>
  <c r="K53" i="8"/>
  <c r="D53" i="8"/>
  <c r="C53" i="8"/>
  <c r="K52" i="8"/>
  <c r="L52" i="8"/>
  <c r="C52" i="8"/>
  <c r="D52" i="8"/>
  <c r="K51" i="8"/>
  <c r="L51" i="8"/>
  <c r="C51" i="8"/>
  <c r="D51" i="8"/>
  <c r="L50" i="8"/>
  <c r="K50" i="8"/>
  <c r="D50" i="8"/>
  <c r="C50" i="8"/>
  <c r="L49" i="8"/>
  <c r="K49" i="8"/>
  <c r="D49" i="8"/>
  <c r="C49" i="8"/>
  <c r="L48" i="8"/>
  <c r="K48" i="8"/>
  <c r="D48" i="8"/>
  <c r="C48" i="8"/>
  <c r="K47" i="8"/>
  <c r="L47" i="8"/>
  <c r="C47" i="8"/>
  <c r="D47" i="8"/>
  <c r="K46" i="8"/>
  <c r="L46" i="8"/>
  <c r="C46" i="8"/>
  <c r="D46" i="8"/>
  <c r="K45" i="8"/>
  <c r="K81" i="8"/>
  <c r="C45" i="8"/>
  <c r="W52" i="8"/>
  <c r="D43" i="8"/>
  <c r="D41" i="8"/>
  <c r="D39" i="8"/>
  <c r="D37" i="8"/>
  <c r="D35" i="8"/>
  <c r="D33" i="8"/>
  <c r="D31" i="8"/>
  <c r="D29" i="8"/>
  <c r="D27" i="8"/>
  <c r="D25" i="8"/>
  <c r="D23" i="8"/>
  <c r="D21" i="8"/>
  <c r="G13" i="9"/>
  <c r="E72" i="9"/>
  <c r="E70" i="9"/>
  <c r="E68" i="9"/>
  <c r="E66" i="9"/>
  <c r="E64" i="9"/>
  <c r="E62" i="9"/>
  <c r="E60" i="9"/>
  <c r="E58" i="9"/>
  <c r="E56" i="9"/>
  <c r="E54" i="9"/>
  <c r="E52" i="9"/>
  <c r="E50" i="9"/>
  <c r="E48" i="9"/>
  <c r="E46" i="9"/>
  <c r="E44" i="9"/>
  <c r="E42" i="9"/>
  <c r="E40" i="9"/>
  <c r="E38" i="9"/>
  <c r="E36" i="9"/>
  <c r="E34" i="9"/>
  <c r="E32" i="9"/>
  <c r="E30" i="9"/>
  <c r="E28" i="9"/>
  <c r="E26" i="9"/>
  <c r="E15" i="9"/>
  <c r="E17" i="9"/>
  <c r="E19" i="9"/>
  <c r="E21" i="9"/>
  <c r="E23" i="9"/>
  <c r="E13" i="9"/>
  <c r="E73" i="9"/>
  <c r="E71" i="9"/>
  <c r="E69" i="9"/>
  <c r="E67" i="9"/>
  <c r="E65" i="9"/>
  <c r="E63" i="9"/>
  <c r="E61" i="9"/>
  <c r="E59" i="9"/>
  <c r="E57" i="9"/>
  <c r="E55" i="9"/>
  <c r="E53" i="9"/>
  <c r="E51" i="9"/>
  <c r="E49" i="9"/>
  <c r="E47" i="9"/>
  <c r="E45" i="9"/>
  <c r="E43" i="9"/>
  <c r="E41" i="9"/>
  <c r="E39" i="9"/>
  <c r="E37" i="9"/>
  <c r="E35" i="9"/>
  <c r="E33" i="9"/>
  <c r="E31" i="9"/>
  <c r="E29" i="9"/>
  <c r="E27" i="9"/>
  <c r="E14" i="9"/>
  <c r="E16" i="9"/>
  <c r="E18" i="9"/>
  <c r="E20" i="9"/>
  <c r="E22" i="9"/>
  <c r="E24" i="9"/>
  <c r="W13" i="9"/>
  <c r="G22" i="12"/>
  <c r="H22" i="12"/>
  <c r="G23" i="12"/>
  <c r="H23" i="12"/>
  <c r="G24" i="12"/>
  <c r="H24" i="12"/>
  <c r="G25" i="12"/>
  <c r="T34" i="12"/>
  <c r="H10" i="10"/>
  <c r="E57" i="10"/>
  <c r="F10" i="10"/>
  <c r="F13" i="9"/>
  <c r="W12" i="9"/>
  <c r="M27" i="9"/>
  <c r="N27" i="9"/>
  <c r="C93" i="8"/>
  <c r="D20" i="8"/>
  <c r="W29" i="8"/>
  <c r="D32" i="8"/>
  <c r="D45" i="8"/>
  <c r="L45" i="8"/>
  <c r="AC50" i="8"/>
  <c r="AI52" i="8"/>
  <c r="AC59" i="8"/>
  <c r="W71" i="8"/>
  <c r="AC69" i="8"/>
  <c r="L69" i="8"/>
  <c r="AI71" i="8"/>
  <c r="H13" i="9"/>
  <c r="G14" i="9"/>
  <c r="H25" i="12"/>
  <c r="G26" i="12"/>
  <c r="T33" i="12"/>
  <c r="F11" i="10"/>
  <c r="F12" i="10"/>
  <c r="F13" i="10"/>
  <c r="F14" i="10"/>
  <c r="F15" i="10"/>
  <c r="F16" i="10"/>
  <c r="F17" i="10"/>
  <c r="F18" i="10"/>
  <c r="F19" i="10"/>
  <c r="F20" i="10"/>
  <c r="G11" i="10"/>
  <c r="H11" i="10"/>
  <c r="W63" i="9"/>
  <c r="W51" i="9"/>
  <c r="W39" i="9"/>
  <c r="M28" i="9"/>
  <c r="W27" i="9"/>
  <c r="F14" i="9"/>
  <c r="F15" i="9"/>
  <c r="F16" i="9"/>
  <c r="F17" i="9"/>
  <c r="F18" i="9"/>
  <c r="F19" i="9"/>
  <c r="F20" i="9"/>
  <c r="F21" i="9"/>
  <c r="F22" i="9"/>
  <c r="F23" i="9"/>
  <c r="F24" i="9"/>
  <c r="E74" i="9"/>
  <c r="W17" i="9"/>
  <c r="L81" i="8"/>
  <c r="N44" i="8"/>
  <c r="D93" i="8"/>
  <c r="C37" i="7"/>
  <c r="C38" i="7"/>
  <c r="L38" i="7" s="1"/>
  <c r="C39" i="7"/>
  <c r="L39" i="7" s="1"/>
  <c r="C40" i="7"/>
  <c r="L40" i="7" s="1"/>
  <c r="C41" i="7"/>
  <c r="L41" i="7" s="1"/>
  <c r="C42" i="7"/>
  <c r="L42" i="7" s="1"/>
  <c r="C43" i="7"/>
  <c r="L43" i="7" s="1"/>
  <c r="C44" i="7"/>
  <c r="L44" i="7" s="1"/>
  <c r="C45" i="7"/>
  <c r="L45" i="7"/>
  <c r="C46" i="7"/>
  <c r="L46" i="7" s="1"/>
  <c r="C47" i="7"/>
  <c r="L47" i="7" s="1"/>
  <c r="C36" i="7"/>
  <c r="L36" i="7"/>
  <c r="C25" i="7"/>
  <c r="D25" i="7" s="1"/>
  <c r="C26" i="7"/>
  <c r="C27" i="7"/>
  <c r="C28" i="7"/>
  <c r="D28" i="7" s="1"/>
  <c r="C29" i="7"/>
  <c r="L29" i="7" s="1"/>
  <c r="C30" i="7"/>
  <c r="D30" i="7" s="1"/>
  <c r="C31" i="7"/>
  <c r="C32" i="7"/>
  <c r="D32" i="7" s="1"/>
  <c r="C33" i="7"/>
  <c r="C34" i="7"/>
  <c r="C35" i="7"/>
  <c r="C24" i="7"/>
  <c r="L24" i="7" s="1"/>
  <c r="C12" i="7"/>
  <c r="D12" i="7" s="1"/>
  <c r="C13" i="7"/>
  <c r="D13" i="7" s="1"/>
  <c r="C14" i="7"/>
  <c r="D14" i="7" s="1"/>
  <c r="C15" i="7"/>
  <c r="D15" i="7" s="1"/>
  <c r="C16" i="7"/>
  <c r="D16" i="7" s="1"/>
  <c r="C17" i="7"/>
  <c r="D17" i="7" s="1"/>
  <c r="C18" i="7"/>
  <c r="D18" i="7"/>
  <c r="C19" i="7"/>
  <c r="D19" i="7" s="1"/>
  <c r="C20" i="7"/>
  <c r="D20" i="7" s="1"/>
  <c r="C21" i="7"/>
  <c r="D21" i="7" s="1"/>
  <c r="C22" i="7"/>
  <c r="C11" i="7"/>
  <c r="D40" i="6"/>
  <c r="D41" i="6"/>
  <c r="D42" i="6"/>
  <c r="D43" i="6"/>
  <c r="D44" i="6"/>
  <c r="D45" i="6"/>
  <c r="D46" i="6"/>
  <c r="D47" i="6"/>
  <c r="D49" i="6"/>
  <c r="D30" i="6"/>
  <c r="D32" i="6"/>
  <c r="D33" i="6"/>
  <c r="D34" i="6"/>
  <c r="D35" i="6"/>
  <c r="D36" i="6"/>
  <c r="D37" i="6"/>
  <c r="L35" i="7"/>
  <c r="D33" i="7"/>
  <c r="L33" i="7"/>
  <c r="D31" i="7"/>
  <c r="L31" i="7"/>
  <c r="D27" i="7"/>
  <c r="L27" i="7"/>
  <c r="L37" i="7"/>
  <c r="D34" i="7"/>
  <c r="L34" i="7"/>
  <c r="L30" i="7"/>
  <c r="D26" i="7"/>
  <c r="L26" i="7"/>
  <c r="H26" i="12"/>
  <c r="G27" i="12"/>
  <c r="H27" i="12"/>
  <c r="G28" i="12"/>
  <c r="H28" i="12"/>
  <c r="G29" i="12"/>
  <c r="H29" i="12"/>
  <c r="V36" i="6"/>
  <c r="V45" i="6"/>
  <c r="D37" i="7"/>
  <c r="D45" i="7"/>
  <c r="D43" i="7"/>
  <c r="D40" i="7"/>
  <c r="D44" i="7"/>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G12" i="10"/>
  <c r="F26" i="9"/>
  <c r="F27" i="9"/>
  <c r="F28" i="9"/>
  <c r="F29" i="9"/>
  <c r="F30" i="9"/>
  <c r="F31" i="9"/>
  <c r="F32" i="9"/>
  <c r="F33" i="9"/>
  <c r="F34" i="9"/>
  <c r="F35" i="9"/>
  <c r="F36" i="9"/>
  <c r="F37" i="9"/>
  <c r="F38" i="9"/>
  <c r="F39" i="9"/>
  <c r="F40" i="9"/>
  <c r="F41" i="9"/>
  <c r="F42" i="9"/>
  <c r="F43" i="9"/>
  <c r="F44" i="9"/>
  <c r="F45" i="9"/>
  <c r="F46" i="9"/>
  <c r="F47" i="9"/>
  <c r="F48" i="9"/>
  <c r="F49" i="9"/>
  <c r="F50" i="9"/>
  <c r="F51" i="9"/>
  <c r="F52" i="9"/>
  <c r="F53" i="9"/>
  <c r="F54" i="9"/>
  <c r="F55" i="9"/>
  <c r="F56" i="9"/>
  <c r="F57" i="9"/>
  <c r="F58" i="9"/>
  <c r="F59" i="9"/>
  <c r="F60" i="9"/>
  <c r="F61" i="9"/>
  <c r="F62" i="9"/>
  <c r="F63" i="9"/>
  <c r="F64" i="9"/>
  <c r="F65" i="9"/>
  <c r="F66" i="9"/>
  <c r="F67" i="9"/>
  <c r="F68" i="9"/>
  <c r="F69" i="9"/>
  <c r="F70" i="9"/>
  <c r="F71" i="9"/>
  <c r="F72" i="9"/>
  <c r="F73" i="9"/>
  <c r="N28" i="9"/>
  <c r="F19" i="8"/>
  <c r="H19" i="8"/>
  <c r="AI74" i="8"/>
  <c r="AI75" i="8"/>
  <c r="AI55" i="8"/>
  <c r="AI56" i="8"/>
  <c r="AI64" i="8"/>
  <c r="AI65" i="8"/>
  <c r="W45" i="8"/>
  <c r="M45" i="8"/>
  <c r="N45" i="8"/>
  <c r="AI46" i="8"/>
  <c r="AI45" i="8"/>
  <c r="D36" i="7"/>
  <c r="K17" i="6"/>
  <c r="K19" i="6"/>
  <c r="K21" i="6"/>
  <c r="K23" i="6"/>
  <c r="K25" i="6"/>
  <c r="K16" i="6"/>
  <c r="K18" i="6"/>
  <c r="K20" i="6"/>
  <c r="K22" i="6"/>
  <c r="K24" i="6"/>
  <c r="G30" i="12"/>
  <c r="H12" i="10"/>
  <c r="M29" i="9"/>
  <c r="N29" i="9"/>
  <c r="M46" i="8"/>
  <c r="N46" i="8"/>
  <c r="W20" i="8"/>
  <c r="G20" i="8"/>
  <c r="E87" i="8"/>
  <c r="E85" i="8"/>
  <c r="E84" i="8"/>
  <c r="E83" i="8"/>
  <c r="E82" i="8"/>
  <c r="E75" i="8"/>
  <c r="E92" i="8"/>
  <c r="E91" i="8"/>
  <c r="E90" i="8"/>
  <c r="E89" i="8"/>
  <c r="E88" i="8"/>
  <c r="E86" i="8"/>
  <c r="E81" i="8"/>
  <c r="E80" i="8"/>
  <c r="E79" i="8"/>
  <c r="E78" i="8"/>
  <c r="E77" i="8"/>
  <c r="E76" i="8"/>
  <c r="E74" i="8"/>
  <c r="E73" i="8"/>
  <c r="E72" i="8"/>
  <c r="E70" i="8"/>
  <c r="E69" i="8"/>
  <c r="E65" i="8"/>
  <c r="E61" i="8"/>
  <c r="E59" i="8"/>
  <c r="E58" i="8"/>
  <c r="E57" i="8"/>
  <c r="E55" i="8"/>
  <c r="E54" i="8"/>
  <c r="E53" i="8"/>
  <c r="E71" i="8"/>
  <c r="E68" i="8"/>
  <c r="E67" i="8"/>
  <c r="E66" i="8"/>
  <c r="E64" i="8"/>
  <c r="E63" i="8"/>
  <c r="E62" i="8"/>
  <c r="E60" i="8"/>
  <c r="E56" i="8"/>
  <c r="E51" i="8"/>
  <c r="E47" i="8"/>
  <c r="E46" i="8"/>
  <c r="E45" i="8"/>
  <c r="E38" i="8"/>
  <c r="E36" i="8"/>
  <c r="E35" i="8"/>
  <c r="E34" i="8"/>
  <c r="E32" i="8"/>
  <c r="E31" i="8"/>
  <c r="E30" i="8"/>
  <c r="E28" i="8"/>
  <c r="E52" i="8"/>
  <c r="E50" i="8"/>
  <c r="E49" i="8"/>
  <c r="E48" i="8"/>
  <c r="E43" i="8"/>
  <c r="E42" i="8"/>
  <c r="E41" i="8"/>
  <c r="E40" i="8"/>
  <c r="E39" i="8"/>
  <c r="E37" i="8"/>
  <c r="E33" i="8"/>
  <c r="E29" i="8"/>
  <c r="E27" i="8"/>
  <c r="E26" i="8"/>
  <c r="E25" i="8"/>
  <c r="E23" i="8"/>
  <c r="E22" i="8"/>
  <c r="E21" i="8"/>
  <c r="W19" i="8"/>
  <c r="E24" i="8"/>
  <c r="E20" i="8"/>
  <c r="D51" i="6"/>
  <c r="F26" i="6" s="1"/>
  <c r="K27" i="4"/>
  <c r="L27" i="4"/>
  <c r="K28" i="4"/>
  <c r="L28" i="4"/>
  <c r="K29" i="4"/>
  <c r="L29" i="4"/>
  <c r="K30" i="4"/>
  <c r="L30" i="4"/>
  <c r="K31" i="4"/>
  <c r="L31" i="4"/>
  <c r="K32" i="4"/>
  <c r="L32" i="4"/>
  <c r="K33" i="4"/>
  <c r="L33" i="4"/>
  <c r="K34" i="4"/>
  <c r="L34" i="4"/>
  <c r="K35" i="4"/>
  <c r="L35" i="4"/>
  <c r="K36" i="4"/>
  <c r="L36" i="4"/>
  <c r="K37" i="4"/>
  <c r="K38" i="4"/>
  <c r="K39" i="4"/>
  <c r="L39" i="4"/>
  <c r="K40" i="4"/>
  <c r="L40" i="4"/>
  <c r="K41" i="4"/>
  <c r="L41" i="4"/>
  <c r="K42" i="4"/>
  <c r="L42" i="4"/>
  <c r="K43" i="4"/>
  <c r="L43" i="4"/>
  <c r="K44" i="4"/>
  <c r="L44" i="4"/>
  <c r="K45" i="4"/>
  <c r="L45" i="4"/>
  <c r="K46" i="4"/>
  <c r="L46" i="4"/>
  <c r="K47" i="4"/>
  <c r="L47" i="4"/>
  <c r="K48" i="4"/>
  <c r="L48" i="4"/>
  <c r="K49" i="4"/>
  <c r="L49" i="4"/>
  <c r="K50" i="4"/>
  <c r="K51" i="4"/>
  <c r="L51" i="4"/>
  <c r="K52" i="4"/>
  <c r="L52" i="4"/>
  <c r="K53" i="4"/>
  <c r="L53" i="4"/>
  <c r="K54" i="4"/>
  <c r="L54" i="4"/>
  <c r="K55" i="4"/>
  <c r="L55" i="4"/>
  <c r="K56" i="4"/>
  <c r="L56" i="4"/>
  <c r="K57" i="4"/>
  <c r="L57" i="4"/>
  <c r="K58" i="4"/>
  <c r="L58" i="4"/>
  <c r="K59" i="4"/>
  <c r="L59" i="4"/>
  <c r="K60" i="4"/>
  <c r="L60" i="4"/>
  <c r="K61" i="4"/>
  <c r="K26" i="4"/>
  <c r="C27" i="4"/>
  <c r="D27" i="4"/>
  <c r="C28" i="4"/>
  <c r="D28" i="4"/>
  <c r="C29" i="4"/>
  <c r="D29" i="4"/>
  <c r="C30" i="4"/>
  <c r="D30" i="4"/>
  <c r="C31" i="4"/>
  <c r="D31" i="4"/>
  <c r="C32" i="4"/>
  <c r="D32" i="4"/>
  <c r="C33" i="4"/>
  <c r="D33" i="4"/>
  <c r="C34" i="4"/>
  <c r="D34" i="4"/>
  <c r="C35" i="4"/>
  <c r="D35" i="4"/>
  <c r="C36" i="4"/>
  <c r="D36" i="4"/>
  <c r="C37" i="4"/>
  <c r="C38" i="4"/>
  <c r="C39" i="4"/>
  <c r="D39" i="4"/>
  <c r="C40" i="4"/>
  <c r="D40" i="4"/>
  <c r="C41" i="4"/>
  <c r="D41" i="4"/>
  <c r="C42" i="4"/>
  <c r="D42" i="4"/>
  <c r="C43" i="4"/>
  <c r="D43" i="4"/>
  <c r="C44" i="4"/>
  <c r="D44" i="4"/>
  <c r="C45" i="4"/>
  <c r="D45" i="4"/>
  <c r="C46" i="4"/>
  <c r="D46" i="4"/>
  <c r="C47" i="4"/>
  <c r="D47" i="4"/>
  <c r="C48" i="4"/>
  <c r="D48" i="4"/>
  <c r="C49" i="4"/>
  <c r="C50" i="4"/>
  <c r="C51" i="4"/>
  <c r="D51" i="4"/>
  <c r="C52" i="4"/>
  <c r="D52" i="4"/>
  <c r="C53" i="4"/>
  <c r="D53" i="4"/>
  <c r="C54" i="4"/>
  <c r="D54" i="4"/>
  <c r="C55" i="4"/>
  <c r="D55" i="4"/>
  <c r="C56" i="4"/>
  <c r="D56" i="4"/>
  <c r="C57" i="4"/>
  <c r="D57" i="4"/>
  <c r="C58" i="4"/>
  <c r="D58" i="4"/>
  <c r="C59" i="4"/>
  <c r="D59" i="4"/>
  <c r="C60" i="4"/>
  <c r="D60" i="4"/>
  <c r="C61" i="4"/>
  <c r="C62" i="4"/>
  <c r="C63" i="4"/>
  <c r="D63" i="4"/>
  <c r="C64" i="4"/>
  <c r="D64" i="4"/>
  <c r="C65" i="4"/>
  <c r="D65" i="4"/>
  <c r="C66" i="4"/>
  <c r="D66" i="4"/>
  <c r="C67" i="4"/>
  <c r="D67" i="4"/>
  <c r="C68" i="4"/>
  <c r="D68" i="4"/>
  <c r="C69" i="4"/>
  <c r="D69" i="4"/>
  <c r="C70" i="4"/>
  <c r="D70" i="4"/>
  <c r="C71" i="4"/>
  <c r="D71" i="4"/>
  <c r="C72" i="4"/>
  <c r="D72" i="4"/>
  <c r="C73" i="4"/>
  <c r="C13" i="4"/>
  <c r="C14" i="4"/>
  <c r="D14" i="4"/>
  <c r="C15" i="4"/>
  <c r="D15" i="4"/>
  <c r="C16" i="4"/>
  <c r="D16" i="4"/>
  <c r="C17" i="4"/>
  <c r="D17" i="4"/>
  <c r="C18" i="4"/>
  <c r="D18" i="4"/>
  <c r="C19" i="4"/>
  <c r="D19" i="4"/>
  <c r="C20" i="4"/>
  <c r="D20" i="4"/>
  <c r="C21" i="4"/>
  <c r="D21" i="4"/>
  <c r="C22" i="4"/>
  <c r="D22" i="4"/>
  <c r="C23" i="4"/>
  <c r="D23" i="4"/>
  <c r="C24" i="4"/>
  <c r="C26" i="4"/>
  <c r="W22" i="4"/>
  <c r="W68" i="4"/>
  <c r="W52" i="4"/>
  <c r="W40" i="4"/>
  <c r="AK32" i="4"/>
  <c r="AK52" i="4"/>
  <c r="AK40" i="4"/>
  <c r="W34" i="4"/>
  <c r="H30" i="12"/>
  <c r="G31" i="12"/>
  <c r="H31" i="12"/>
  <c r="V22" i="6"/>
  <c r="V23" i="6"/>
  <c r="G13" i="10"/>
  <c r="M30" i="9"/>
  <c r="E93" i="8"/>
  <c r="W23" i="8"/>
  <c r="W24" i="8"/>
  <c r="M47" i="8"/>
  <c r="N47" i="8"/>
  <c r="F20" i="8"/>
  <c r="F21" i="8"/>
  <c r="F22" i="8"/>
  <c r="F23" i="8"/>
  <c r="F24" i="8"/>
  <c r="F25" i="8"/>
  <c r="F26" i="8"/>
  <c r="F27" i="8"/>
  <c r="F28" i="8"/>
  <c r="F29" i="8"/>
  <c r="F30" i="8"/>
  <c r="F31" i="8"/>
  <c r="F32" i="8"/>
  <c r="F33" i="8"/>
  <c r="F34" i="8"/>
  <c r="F35" i="8"/>
  <c r="F36" i="8"/>
  <c r="F37" i="8"/>
  <c r="F38" i="8"/>
  <c r="F39" i="8"/>
  <c r="F40" i="8"/>
  <c r="F41" i="8"/>
  <c r="F42" i="8"/>
  <c r="F43" i="8"/>
  <c r="W32" i="8"/>
  <c r="W33" i="8"/>
  <c r="H20" i="8"/>
  <c r="H26" i="6"/>
  <c r="V15" i="6" s="1"/>
  <c r="V14" i="6" s="1"/>
  <c r="K62" i="4"/>
  <c r="AD30" i="4"/>
  <c r="AD50" i="4"/>
  <c r="L38" i="4"/>
  <c r="AD38" i="4"/>
  <c r="D62" i="4"/>
  <c r="D50" i="4"/>
  <c r="C74" i="4"/>
  <c r="G32" i="12"/>
  <c r="V18" i="6"/>
  <c r="V19" i="6"/>
  <c r="H13" i="10"/>
  <c r="N30" i="9"/>
  <c r="M48" i="8"/>
  <c r="N48" i="8"/>
  <c r="G21" i="8"/>
  <c r="H21"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L62" i="4"/>
  <c r="D74" i="4"/>
  <c r="H12" i="4"/>
  <c r="M26" i="4"/>
  <c r="N26" i="4" s="1"/>
  <c r="F12" i="4"/>
  <c r="W12" i="4"/>
  <c r="E73" i="4"/>
  <c r="E71" i="4"/>
  <c r="E69" i="4"/>
  <c r="E67" i="4"/>
  <c r="E65" i="4"/>
  <c r="E63" i="4"/>
  <c r="E61" i="4"/>
  <c r="E59" i="4"/>
  <c r="E57" i="4"/>
  <c r="E55" i="4"/>
  <c r="E53" i="4"/>
  <c r="E51" i="4"/>
  <c r="E49" i="4"/>
  <c r="E47" i="4"/>
  <c r="E45" i="4"/>
  <c r="E43" i="4"/>
  <c r="E41" i="4"/>
  <c r="E39" i="4"/>
  <c r="E37" i="4"/>
  <c r="E35" i="4"/>
  <c r="E33" i="4"/>
  <c r="E31" i="4"/>
  <c r="E29" i="4"/>
  <c r="E27" i="4"/>
  <c r="E14" i="4"/>
  <c r="E16" i="4"/>
  <c r="E18" i="4"/>
  <c r="E20" i="4"/>
  <c r="E22" i="4"/>
  <c r="E24" i="4"/>
  <c r="E72" i="4"/>
  <c r="E70" i="4"/>
  <c r="E68" i="4"/>
  <c r="E66" i="4"/>
  <c r="E64" i="4"/>
  <c r="E62" i="4"/>
  <c r="E60" i="4"/>
  <c r="E58" i="4"/>
  <c r="E56" i="4"/>
  <c r="E54" i="4"/>
  <c r="E52" i="4"/>
  <c r="E50" i="4"/>
  <c r="E48" i="4"/>
  <c r="E46" i="4"/>
  <c r="E44" i="4"/>
  <c r="E42" i="4"/>
  <c r="E40" i="4"/>
  <c r="E38" i="4"/>
  <c r="E36" i="4"/>
  <c r="E34" i="4"/>
  <c r="E32" i="4"/>
  <c r="E30" i="4"/>
  <c r="E28" i="4"/>
  <c r="E26" i="4"/>
  <c r="E15" i="4"/>
  <c r="E17" i="4"/>
  <c r="E19" i="4"/>
  <c r="E21" i="4"/>
  <c r="E23" i="4"/>
  <c r="E13" i="4"/>
  <c r="F13" i="4"/>
  <c r="W13" i="4"/>
  <c r="G13" i="4"/>
  <c r="H13" i="4"/>
  <c r="G14" i="4"/>
  <c r="H32" i="12"/>
  <c r="G33" i="12"/>
  <c r="H33" i="12"/>
  <c r="AK26" i="4"/>
  <c r="AK35" i="4"/>
  <c r="AK36" i="4" s="1"/>
  <c r="G14" i="10"/>
  <c r="H14" i="10"/>
  <c r="M31" i="9"/>
  <c r="N31" i="9"/>
  <c r="G22" i="8"/>
  <c r="H22" i="8"/>
  <c r="M49" i="8"/>
  <c r="W47" i="8"/>
  <c r="W46" i="8"/>
  <c r="AK55" i="4"/>
  <c r="AK56" i="4" s="1"/>
  <c r="AK25" i="4"/>
  <c r="AK44" i="4"/>
  <c r="AK45" i="4" s="1"/>
  <c r="W25" i="4"/>
  <c r="W28" i="4" s="1"/>
  <c r="W62" i="4"/>
  <c r="W63" i="4"/>
  <c r="W16" i="4"/>
  <c r="G34" i="12"/>
  <c r="G15" i="10"/>
  <c r="H15" i="10"/>
  <c r="M32" i="9"/>
  <c r="N32" i="9"/>
  <c r="G23" i="8"/>
  <c r="H23" i="8"/>
  <c r="N49" i="8"/>
  <c r="W17" i="4"/>
  <c r="E74" i="4"/>
  <c r="F14" i="4"/>
  <c r="F15" i="4"/>
  <c r="F16" i="4"/>
  <c r="F17" i="4"/>
  <c r="F18" i="4"/>
  <c r="F19" i="4"/>
  <c r="F20" i="4"/>
  <c r="F21" i="4"/>
  <c r="F22" i="4"/>
  <c r="F23" i="4"/>
  <c r="H34" i="12"/>
  <c r="G35" i="12"/>
  <c r="H35" i="12"/>
  <c r="G36" i="12"/>
  <c r="G16" i="10"/>
  <c r="H16" i="10"/>
  <c r="M33" i="9"/>
  <c r="N33" i="9"/>
  <c r="M50" i="8"/>
  <c r="G24" i="8"/>
  <c r="H24" i="8"/>
  <c r="F24" i="4"/>
  <c r="H36" i="12"/>
  <c r="G37" i="12"/>
  <c r="T51" i="12"/>
  <c r="G17" i="10"/>
  <c r="H17" i="10"/>
  <c r="M34" i="9"/>
  <c r="N34" i="9"/>
  <c r="G25" i="8"/>
  <c r="H25" i="8"/>
  <c r="N50" i="8"/>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T50" i="12"/>
  <c r="Z34" i="10"/>
  <c r="Y35" i="10"/>
  <c r="P23" i="10"/>
  <c r="G18" i="10"/>
  <c r="H18" i="10"/>
  <c r="M35" i="9"/>
  <c r="N35" i="9"/>
  <c r="M51" i="8"/>
  <c r="G26" i="8"/>
  <c r="H26" i="8"/>
  <c r="H37" i="12"/>
  <c r="Z35" i="10"/>
  <c r="Y36" i="10"/>
  <c r="Q23" i="10"/>
  <c r="P24" i="10"/>
  <c r="G19" i="10"/>
  <c r="H19" i="10"/>
  <c r="M36" i="9"/>
  <c r="N36" i="9"/>
  <c r="G27" i="8"/>
  <c r="H27" i="8"/>
  <c r="N51" i="8"/>
  <c r="G38" i="12"/>
  <c r="Z36" i="10"/>
  <c r="Y37" i="10"/>
  <c r="Q24" i="10"/>
  <c r="P25" i="10"/>
  <c r="G20" i="10"/>
  <c r="AR18" i="10"/>
  <c r="AR17" i="10"/>
  <c r="M37" i="9"/>
  <c r="N37" i="9"/>
  <c r="M52" i="8"/>
  <c r="N52" i="8"/>
  <c r="G28" i="8"/>
  <c r="H28" i="8"/>
  <c r="H38" i="12"/>
  <c r="G39" i="12"/>
  <c r="H39" i="12"/>
  <c r="G40" i="12"/>
  <c r="Z37" i="10"/>
  <c r="Y38" i="10"/>
  <c r="Q25" i="10"/>
  <c r="P26" i="10"/>
  <c r="H20" i="10"/>
  <c r="AR21" i="10"/>
  <c r="M38" i="9"/>
  <c r="N38" i="9"/>
  <c r="AK35" i="9"/>
  <c r="AK34" i="9"/>
  <c r="M53" i="8"/>
  <c r="N53" i="8"/>
  <c r="H29" i="8"/>
  <c r="G29" i="8"/>
  <c r="AR22" i="10"/>
  <c r="O20" i="10"/>
  <c r="H40" i="12"/>
  <c r="G41" i="12"/>
  <c r="Z38" i="10"/>
  <c r="Y39" i="10"/>
  <c r="N23" i="10"/>
  <c r="N27" i="10"/>
  <c r="N31" i="10"/>
  <c r="N35" i="10"/>
  <c r="N39" i="10"/>
  <c r="N43" i="10"/>
  <c r="N47" i="10"/>
  <c r="N51" i="10"/>
  <c r="N55" i="10"/>
  <c r="N22" i="10"/>
  <c r="N26" i="10"/>
  <c r="N30" i="10"/>
  <c r="N34" i="10"/>
  <c r="N38" i="10"/>
  <c r="N42" i="10"/>
  <c r="N46" i="10"/>
  <c r="N50" i="10"/>
  <c r="N54" i="10"/>
  <c r="N25" i="10"/>
  <c r="N29" i="10"/>
  <c r="N33" i="10"/>
  <c r="N37" i="10"/>
  <c r="N41" i="10"/>
  <c r="N45" i="10"/>
  <c r="N49" i="10"/>
  <c r="N53" i="10"/>
  <c r="N21" i="10"/>
  <c r="N24" i="10"/>
  <c r="N28" i="10"/>
  <c r="N32" i="10"/>
  <c r="N36" i="10"/>
  <c r="N40" i="10"/>
  <c r="N44" i="10"/>
  <c r="N48" i="10"/>
  <c r="N52" i="10"/>
  <c r="N56" i="10"/>
  <c r="Q26" i="10"/>
  <c r="P27" i="10"/>
  <c r="G21" i="10"/>
  <c r="H21" i="10"/>
  <c r="M39" i="9"/>
  <c r="N39" i="9"/>
  <c r="M54" i="8"/>
  <c r="N54" i="8"/>
  <c r="G30" i="8"/>
  <c r="H30" i="8"/>
  <c r="O21" i="10"/>
  <c r="H41" i="12"/>
  <c r="G42" i="12"/>
  <c r="O22" i="10"/>
  <c r="O23" i="10"/>
  <c r="O24" i="10"/>
  <c r="O25" i="10"/>
  <c r="O26" i="10"/>
  <c r="O27" i="10"/>
  <c r="O28" i="10"/>
  <c r="O29" i="10"/>
  <c r="O30" i="10"/>
  <c r="O31" i="10"/>
  <c r="O32" i="10"/>
  <c r="AI46" i="10"/>
  <c r="Z39" i="10"/>
  <c r="Y40" i="10"/>
  <c r="AR25" i="10"/>
  <c r="AR26" i="10"/>
  <c r="N57" i="10"/>
  <c r="Q27" i="10"/>
  <c r="P28" i="10"/>
  <c r="G22" i="10"/>
  <c r="H22" i="10"/>
  <c r="M40" i="9"/>
  <c r="N40" i="9"/>
  <c r="M55" i="8"/>
  <c r="N55" i="8"/>
  <c r="G31" i="8"/>
  <c r="W28" i="8"/>
  <c r="W27" i="8"/>
  <c r="H42" i="12"/>
  <c r="G43" i="12"/>
  <c r="AH47" i="10"/>
  <c r="O33" i="10"/>
  <c r="O34" i="10"/>
  <c r="O35" i="10"/>
  <c r="O36" i="10"/>
  <c r="O37" i="10"/>
  <c r="O38" i="10"/>
  <c r="O39" i="10"/>
  <c r="O40" i="10"/>
  <c r="O41" i="10"/>
  <c r="O42" i="10"/>
  <c r="O43" i="10"/>
  <c r="O44" i="10"/>
  <c r="O45" i="10"/>
  <c r="O46" i="10"/>
  <c r="O47" i="10"/>
  <c r="O48" i="10"/>
  <c r="O49" i="10"/>
  <c r="O50" i="10"/>
  <c r="O51" i="10"/>
  <c r="O52" i="10"/>
  <c r="O53" i="10"/>
  <c r="O54" i="10"/>
  <c r="O55" i="10"/>
  <c r="O56" i="10"/>
  <c r="Z40" i="10"/>
  <c r="Y41" i="10"/>
  <c r="Q28" i="10"/>
  <c r="P29" i="10"/>
  <c r="G23" i="10"/>
  <c r="H23" i="10"/>
  <c r="M41" i="9"/>
  <c r="M56" i="8"/>
  <c r="H31" i="8"/>
  <c r="H43" i="12"/>
  <c r="G44" i="12"/>
  <c r="AI47" i="10"/>
  <c r="Z41" i="10"/>
  <c r="Y42" i="10"/>
  <c r="Q29" i="10"/>
  <c r="P30" i="10"/>
  <c r="G24" i="10"/>
  <c r="H24" i="10"/>
  <c r="H14" i="9"/>
  <c r="N41" i="9"/>
  <c r="G32" i="8"/>
  <c r="H32" i="8"/>
  <c r="AC51" i="8"/>
  <c r="AC52" i="8"/>
  <c r="AI51" i="8"/>
  <c r="AI50" i="8"/>
  <c r="N56" i="8"/>
  <c r="H44" i="12"/>
  <c r="G45" i="12"/>
  <c r="AH48" i="10"/>
  <c r="AI48" i="10"/>
  <c r="Z42" i="10"/>
  <c r="Y43" i="10"/>
  <c r="Q30" i="10"/>
  <c r="P31" i="10"/>
  <c r="G25" i="10"/>
  <c r="H25" i="10"/>
  <c r="G15" i="9"/>
  <c r="M42" i="9"/>
  <c r="G33" i="8"/>
  <c r="H33" i="8"/>
  <c r="M57" i="8"/>
  <c r="H45" i="12"/>
  <c r="G46" i="12"/>
  <c r="H46" i="12"/>
  <c r="G47" i="12"/>
  <c r="H15" i="9"/>
  <c r="AH49" i="10"/>
  <c r="AI49" i="10"/>
  <c r="AH50" i="10"/>
  <c r="Z43" i="10"/>
  <c r="Y44" i="10"/>
  <c r="AR42" i="10"/>
  <c r="AR41" i="10"/>
  <c r="Q31" i="10"/>
  <c r="P32" i="10"/>
  <c r="AR30" i="10"/>
  <c r="AR29" i="10"/>
  <c r="G26" i="10"/>
  <c r="H26" i="10"/>
  <c r="G16" i="9"/>
  <c r="H16" i="9"/>
  <c r="N42" i="9"/>
  <c r="N57" i="8"/>
  <c r="G34" i="8"/>
  <c r="H34" i="8"/>
  <c r="AI50" i="10"/>
  <c r="AH51" i="10"/>
  <c r="Z44" i="10"/>
  <c r="Q32" i="10"/>
  <c r="G27" i="10"/>
  <c r="H27" i="10"/>
  <c r="G17" i="9"/>
  <c r="H17" i="9"/>
  <c r="M43" i="9"/>
  <c r="N43" i="9"/>
  <c r="G35" i="8"/>
  <c r="H35" i="8"/>
  <c r="M58" i="8"/>
  <c r="N58" i="8"/>
  <c r="H47" i="12"/>
  <c r="G48" i="12"/>
  <c r="AI51" i="10"/>
  <c r="AH52" i="10"/>
  <c r="Y45" i="10"/>
  <c r="Z45" i="10"/>
  <c r="Y46" i="10"/>
  <c r="AR45" i="10"/>
  <c r="AR46" i="10"/>
  <c r="P33" i="10"/>
  <c r="Q33" i="10"/>
  <c r="P34" i="10"/>
  <c r="AR33" i="10"/>
  <c r="G28" i="10"/>
  <c r="H28" i="10"/>
  <c r="M44" i="9"/>
  <c r="N44" i="9"/>
  <c r="G18" i="9"/>
  <c r="H18" i="9"/>
  <c r="M59" i="8"/>
  <c r="N59" i="8"/>
  <c r="G36" i="8"/>
  <c r="H36" i="8"/>
  <c r="AR34" i="10"/>
  <c r="X32" i="10"/>
  <c r="H48" i="12"/>
  <c r="G49" i="12"/>
  <c r="T72" i="12"/>
  <c r="AI52" i="10"/>
  <c r="AH53" i="10"/>
  <c r="W35" i="10"/>
  <c r="W39" i="10"/>
  <c r="W43" i="10"/>
  <c r="W47" i="10"/>
  <c r="W51" i="10"/>
  <c r="W55" i="10"/>
  <c r="W34" i="10"/>
  <c r="W38" i="10"/>
  <c r="W42" i="10"/>
  <c r="W46" i="10"/>
  <c r="W50" i="10"/>
  <c r="W54" i="10"/>
  <c r="W37" i="10"/>
  <c r="W41" i="10"/>
  <c r="W45" i="10"/>
  <c r="W49" i="10"/>
  <c r="W53" i="10"/>
  <c r="W33" i="10"/>
  <c r="W36" i="10"/>
  <c r="W40" i="10"/>
  <c r="W44" i="10"/>
  <c r="W48" i="10"/>
  <c r="W52" i="10"/>
  <c r="W56" i="10"/>
  <c r="Z46" i="10"/>
  <c r="Y47" i="10"/>
  <c r="Q34" i="10"/>
  <c r="P35" i="10"/>
  <c r="G29" i="10"/>
  <c r="H29" i="10"/>
  <c r="G19" i="9"/>
  <c r="H19" i="9"/>
  <c r="M45" i="9"/>
  <c r="N45" i="9"/>
  <c r="M60" i="8"/>
  <c r="G37" i="8"/>
  <c r="H37" i="8"/>
  <c r="H14" i="4"/>
  <c r="G15" i="4"/>
  <c r="X33" i="10"/>
  <c r="H49" i="12"/>
  <c r="T71" i="12"/>
  <c r="AI53" i="10"/>
  <c r="AH54" i="10"/>
  <c r="AR37" i="10"/>
  <c r="AR38" i="10"/>
  <c r="W57" i="10"/>
  <c r="X34" i="10"/>
  <c r="X35" i="10"/>
  <c r="X36" i="10"/>
  <c r="X37" i="10"/>
  <c r="X38" i="10"/>
  <c r="X39" i="10"/>
  <c r="X40" i="10"/>
  <c r="X41" i="10"/>
  <c r="X42" i="10"/>
  <c r="X43" i="10"/>
  <c r="X44" i="10"/>
  <c r="AG44" i="10"/>
  <c r="Z47" i="10"/>
  <c r="Y48" i="10"/>
  <c r="Q35" i="10"/>
  <c r="P36" i="10"/>
  <c r="G30" i="10"/>
  <c r="H30" i="10"/>
  <c r="M46" i="9"/>
  <c r="N46" i="9"/>
  <c r="G20" i="9"/>
  <c r="H20" i="9"/>
  <c r="G38" i="8"/>
  <c r="H38" i="8"/>
  <c r="N60" i="8"/>
  <c r="H15" i="4"/>
  <c r="G16" i="4"/>
  <c r="G50" i="12"/>
  <c r="AI54" i="10"/>
  <c r="AH55" i="10"/>
  <c r="X45" i="10"/>
  <c r="X46" i="10"/>
  <c r="X47" i="10"/>
  <c r="X48" i="10"/>
  <c r="X49" i="10"/>
  <c r="X50" i="10"/>
  <c r="X51" i="10"/>
  <c r="X52" i="10"/>
  <c r="X53" i="10"/>
  <c r="X54" i="10"/>
  <c r="X55" i="10"/>
  <c r="X56" i="10"/>
  <c r="AF47" i="10"/>
  <c r="AF49" i="10"/>
  <c r="AF51" i="10"/>
  <c r="AF53" i="10"/>
  <c r="AF55" i="10"/>
  <c r="AF45" i="10"/>
  <c r="AG45" i="10"/>
  <c r="AF46" i="10"/>
  <c r="AF48" i="10"/>
  <c r="AF50" i="10"/>
  <c r="AF52" i="10"/>
  <c r="AF54" i="10"/>
  <c r="AF56" i="10"/>
  <c r="AI55" i="10"/>
  <c r="AH56" i="10"/>
  <c r="AR54" i="10"/>
  <c r="AR53" i="10"/>
  <c r="Z48" i="10"/>
  <c r="Y49" i="10"/>
  <c r="Q36" i="10"/>
  <c r="P37" i="10"/>
  <c r="G31" i="10"/>
  <c r="H31" i="10"/>
  <c r="G21" i="9"/>
  <c r="H21" i="9"/>
  <c r="M47" i="9"/>
  <c r="N47" i="9"/>
  <c r="G39" i="8"/>
  <c r="H39" i="8"/>
  <c r="M61" i="8"/>
  <c r="N61" i="8"/>
  <c r="H16" i="4"/>
  <c r="G17" i="4"/>
  <c r="AR49" i="10"/>
  <c r="AR50" i="10"/>
  <c r="AF57" i="10"/>
  <c r="AG46" i="10"/>
  <c r="AG47" i="10"/>
  <c r="AG48" i="10"/>
  <c r="AG49" i="10"/>
  <c r="AG50" i="10"/>
  <c r="AG51" i="10"/>
  <c r="AG52" i="10"/>
  <c r="AG53" i="10"/>
  <c r="AG54" i="10"/>
  <c r="AG55" i="10"/>
  <c r="AG56" i="10"/>
  <c r="AH57" i="10"/>
  <c r="AI56" i="10"/>
  <c r="Z49" i="10"/>
  <c r="Y50" i="10"/>
  <c r="Q37" i="10"/>
  <c r="P38" i="10"/>
  <c r="G32" i="10"/>
  <c r="M48" i="9"/>
  <c r="N48" i="9"/>
  <c r="G22" i="9"/>
  <c r="H22" i="9"/>
  <c r="M62" i="8"/>
  <c r="N62" i="8"/>
  <c r="G40" i="8"/>
  <c r="H40" i="8"/>
  <c r="H17" i="4"/>
  <c r="G18" i="4"/>
  <c r="H18" i="4"/>
  <c r="Z50" i="10"/>
  <c r="Y51" i="10"/>
  <c r="Q38" i="10"/>
  <c r="P39" i="10"/>
  <c r="H32" i="10"/>
  <c r="G33" i="10"/>
  <c r="H33" i="10"/>
  <c r="G23" i="9"/>
  <c r="H23" i="9"/>
  <c r="M49" i="9"/>
  <c r="G41" i="8"/>
  <c r="H41" i="8"/>
  <c r="N63" i="8"/>
  <c r="M63" i="8"/>
  <c r="G19" i="4"/>
  <c r="H19" i="4"/>
  <c r="G20" i="4"/>
  <c r="Z51" i="10"/>
  <c r="Y52" i="10"/>
  <c r="Q39" i="10"/>
  <c r="P40" i="10"/>
  <c r="G34" i="10"/>
  <c r="H34" i="10"/>
  <c r="G24" i="9"/>
  <c r="AK43" i="9"/>
  <c r="AK42" i="9"/>
  <c r="N49" i="9"/>
  <c r="G42" i="8"/>
  <c r="H42" i="8"/>
  <c r="N64" i="8"/>
  <c r="M64" i="8"/>
  <c r="H20" i="4"/>
  <c r="G21" i="4"/>
  <c r="W30" i="9"/>
  <c r="W20" i="9"/>
  <c r="Z52" i="10"/>
  <c r="Y53" i="10"/>
  <c r="Q40" i="10"/>
  <c r="P41" i="10"/>
  <c r="G35" i="10"/>
  <c r="H35" i="10"/>
  <c r="M50" i="9"/>
  <c r="H24" i="9"/>
  <c r="M65" i="8"/>
  <c r="N65" i="8"/>
  <c r="G43" i="8"/>
  <c r="W37" i="8"/>
  <c r="W36" i="8"/>
  <c r="H21" i="4"/>
  <c r="G22" i="4"/>
  <c r="Z53" i="10"/>
  <c r="Y54" i="10"/>
  <c r="Q41" i="10"/>
  <c r="P42" i="10"/>
  <c r="G36" i="10"/>
  <c r="H36" i="10"/>
  <c r="G26" i="9"/>
  <c r="H26" i="9"/>
  <c r="N50" i="9"/>
  <c r="H43" i="8"/>
  <c r="M66" i="8"/>
  <c r="N66" i="8"/>
  <c r="G45" i="8"/>
  <c r="H45" i="8"/>
  <c r="H22" i="4"/>
  <c r="G23" i="4"/>
  <c r="Z54" i="10"/>
  <c r="Y55" i="10"/>
  <c r="Q42" i="10"/>
  <c r="P43" i="10"/>
  <c r="G37" i="10"/>
  <c r="H37" i="10"/>
  <c r="G27" i="9"/>
  <c r="H27" i="9"/>
  <c r="M51" i="9"/>
  <c r="N51" i="9"/>
  <c r="M67" i="8"/>
  <c r="N67" i="8"/>
  <c r="G46" i="8"/>
  <c r="H46" i="8"/>
  <c r="H23" i="4"/>
  <c r="G24" i="4"/>
  <c r="W21" i="4"/>
  <c r="W20" i="4"/>
  <c r="Z55" i="10"/>
  <c r="Y56" i="10"/>
  <c r="Q43" i="10"/>
  <c r="P44" i="10"/>
  <c r="G38" i="10"/>
  <c r="H38" i="10"/>
  <c r="M52" i="9"/>
  <c r="N52" i="9"/>
  <c r="G28" i="9"/>
  <c r="N68" i="8"/>
  <c r="M68" i="8"/>
  <c r="G47" i="8"/>
  <c r="Y57" i="10"/>
  <c r="Q44" i="10"/>
  <c r="P45" i="10"/>
  <c r="G39" i="10"/>
  <c r="H39" i="10"/>
  <c r="N53" i="9"/>
  <c r="M53" i="9"/>
  <c r="H28" i="9"/>
  <c r="H47" i="8"/>
  <c r="AI60" i="8"/>
  <c r="AI59" i="8"/>
  <c r="AC60" i="8"/>
  <c r="AC61" i="8"/>
  <c r="M69" i="8"/>
  <c r="H24" i="4"/>
  <c r="G26" i="4"/>
  <c r="Z56" i="10"/>
  <c r="Q45" i="10"/>
  <c r="P46" i="10"/>
  <c r="G40" i="10"/>
  <c r="H40" i="10"/>
  <c r="G29" i="9"/>
  <c r="M54" i="9"/>
  <c r="N54" i="9"/>
  <c r="G48" i="8"/>
  <c r="H48" i="8"/>
  <c r="N69" i="8"/>
  <c r="H26" i="4"/>
  <c r="G27" i="4"/>
  <c r="Q46" i="10"/>
  <c r="P47" i="10"/>
  <c r="G41" i="10"/>
  <c r="H41" i="10"/>
  <c r="M55" i="9"/>
  <c r="H29" i="9"/>
  <c r="M70" i="8"/>
  <c r="N70" i="8"/>
  <c r="G49" i="8"/>
  <c r="H49" i="8"/>
  <c r="H27" i="4"/>
  <c r="G28" i="4"/>
  <c r="Q47" i="10"/>
  <c r="P48" i="10"/>
  <c r="G42" i="10"/>
  <c r="H42" i="10"/>
  <c r="G30" i="9"/>
  <c r="H30" i="9"/>
  <c r="N55" i="9"/>
  <c r="G50" i="8"/>
  <c r="H50" i="8"/>
  <c r="N71" i="8"/>
  <c r="M71" i="8"/>
  <c r="H28" i="4"/>
  <c r="G29" i="4"/>
  <c r="Q48" i="10"/>
  <c r="P49" i="10"/>
  <c r="G43" i="10"/>
  <c r="H43" i="10"/>
  <c r="M56" i="9"/>
  <c r="N56" i="9"/>
  <c r="G31" i="9"/>
  <c r="H31" i="9"/>
  <c r="G51" i="8"/>
  <c r="H51" i="8"/>
  <c r="M72" i="8"/>
  <c r="H29" i="4"/>
  <c r="G30" i="4"/>
  <c r="H30" i="4"/>
  <c r="Q49" i="10"/>
  <c r="P50" i="10"/>
  <c r="G44" i="10"/>
  <c r="G32" i="9"/>
  <c r="H32" i="9"/>
  <c r="M57" i="9"/>
  <c r="N57" i="9"/>
  <c r="G52" i="8"/>
  <c r="H52" i="8"/>
  <c r="N72" i="8"/>
  <c r="G31" i="4"/>
  <c r="H31" i="4"/>
  <c r="Q50" i="10"/>
  <c r="P51" i="10"/>
  <c r="H44" i="10"/>
  <c r="M58" i="9"/>
  <c r="N58" i="9"/>
  <c r="G33" i="9"/>
  <c r="H33" i="9"/>
  <c r="N73" i="8"/>
  <c r="M73" i="8"/>
  <c r="G53" i="8"/>
  <c r="H53" i="8"/>
  <c r="G32" i="4"/>
  <c r="H32" i="4"/>
  <c r="Q51" i="10"/>
  <c r="P52" i="10"/>
  <c r="G45" i="10"/>
  <c r="M59" i="9"/>
  <c r="N59" i="9"/>
  <c r="G34" i="9"/>
  <c r="H34" i="9"/>
  <c r="G54" i="8"/>
  <c r="H54" i="8"/>
  <c r="M74" i="8"/>
  <c r="N74" i="8"/>
  <c r="G33" i="4"/>
  <c r="H33" i="4"/>
  <c r="Q52" i="10"/>
  <c r="P53" i="10"/>
  <c r="H45" i="10"/>
  <c r="M60" i="9"/>
  <c r="N60" i="9"/>
  <c r="G35" i="9"/>
  <c r="H35" i="9"/>
  <c r="M75" i="8"/>
  <c r="N75" i="8"/>
  <c r="G55" i="8"/>
  <c r="H55" i="8"/>
  <c r="G34" i="4"/>
  <c r="H34" i="4"/>
  <c r="Q53" i="10"/>
  <c r="P54" i="10"/>
  <c r="G46" i="10"/>
  <c r="H46" i="10"/>
  <c r="M61" i="9"/>
  <c r="G36" i="9"/>
  <c r="H36" i="9"/>
  <c r="G56" i="8"/>
  <c r="W51" i="8"/>
  <c r="W50" i="8"/>
  <c r="M76" i="8"/>
  <c r="N76" i="8"/>
  <c r="G35" i="4"/>
  <c r="H35" i="4"/>
  <c r="Q54" i="10"/>
  <c r="P55" i="10"/>
  <c r="G47" i="10"/>
  <c r="H47" i="10"/>
  <c r="G37" i="9"/>
  <c r="W42" i="9"/>
  <c r="H37" i="9"/>
  <c r="M62" i="9"/>
  <c r="AK55" i="9"/>
  <c r="AK54" i="9"/>
  <c r="N61" i="9"/>
  <c r="M77" i="8"/>
  <c r="N77" i="8"/>
  <c r="H56" i="8"/>
  <c r="G36" i="4"/>
  <c r="H36" i="4"/>
  <c r="Q55" i="10"/>
  <c r="P56" i="10"/>
  <c r="P57" i="10"/>
  <c r="G48" i="10"/>
  <c r="H48" i="10"/>
  <c r="G38" i="9"/>
  <c r="H38" i="9"/>
  <c r="M78" i="8"/>
  <c r="N78" i="8"/>
  <c r="G57" i="8"/>
  <c r="H57" i="8"/>
  <c r="G37" i="4"/>
  <c r="W33" i="4"/>
  <c r="G49" i="10"/>
  <c r="H49" i="10"/>
  <c r="G39" i="9"/>
  <c r="H39" i="9"/>
  <c r="M79" i="8"/>
  <c r="N79" i="8"/>
  <c r="G58" i="8"/>
  <c r="H58" i="8"/>
  <c r="H37" i="4"/>
  <c r="W32" i="4"/>
  <c r="G38" i="4"/>
  <c r="Q56" i="10"/>
  <c r="G50" i="10"/>
  <c r="H50" i="10"/>
  <c r="G40" i="9"/>
  <c r="H40" i="9"/>
  <c r="G59" i="8"/>
  <c r="H59" i="8"/>
  <c r="M80" i="8"/>
  <c r="H38" i="4"/>
  <c r="G39" i="4"/>
  <c r="H39" i="4"/>
  <c r="G51" i="10"/>
  <c r="H51" i="10"/>
  <c r="G41" i="9"/>
  <c r="G60" i="8"/>
  <c r="M81" i="8"/>
  <c r="AC70" i="8"/>
  <c r="AC71" i="8"/>
  <c r="AI70" i="8"/>
  <c r="AI69" i="8"/>
  <c r="N80" i="8"/>
  <c r="G40" i="4"/>
  <c r="H40" i="4"/>
  <c r="G52" i="10"/>
  <c r="H52" i="10"/>
  <c r="H41" i="9"/>
  <c r="H60" i="8"/>
  <c r="G41" i="4"/>
  <c r="H41" i="4"/>
  <c r="G53" i="10"/>
  <c r="H53" i="10"/>
  <c r="G42" i="9"/>
  <c r="H42" i="9"/>
  <c r="G61" i="8"/>
  <c r="H61" i="8"/>
  <c r="G42" i="4"/>
  <c r="G54" i="10"/>
  <c r="H54" i="10"/>
  <c r="G43" i="9"/>
  <c r="H43" i="9"/>
  <c r="G62" i="8"/>
  <c r="H62" i="8"/>
  <c r="H42" i="4"/>
  <c r="G43" i="4"/>
  <c r="H43" i="4"/>
  <c r="G55" i="10"/>
  <c r="H55" i="10"/>
  <c r="G44" i="9"/>
  <c r="H44" i="9"/>
  <c r="G63" i="8"/>
  <c r="H63" i="8"/>
  <c r="G44" i="4"/>
  <c r="G56" i="10"/>
  <c r="H56" i="10"/>
  <c r="G45" i="9"/>
  <c r="H45" i="9"/>
  <c r="G64" i="8"/>
  <c r="H64" i="8"/>
  <c r="H44" i="4"/>
  <c r="G45" i="4"/>
  <c r="H45" i="4"/>
  <c r="G57" i="10"/>
  <c r="G46" i="9"/>
  <c r="H46" i="9"/>
  <c r="G65" i="8"/>
  <c r="H65" i="8"/>
  <c r="G46" i="4"/>
  <c r="H46" i="4"/>
  <c r="G47" i="9"/>
  <c r="H47" i="9"/>
  <c r="G66" i="8"/>
  <c r="H66" i="8"/>
  <c r="G47" i="4"/>
  <c r="H47" i="4"/>
  <c r="G48" i="9"/>
  <c r="H48" i="9"/>
  <c r="G67" i="8"/>
  <c r="H67" i="8"/>
  <c r="G48" i="4"/>
  <c r="H48" i="4"/>
  <c r="G49" i="9"/>
  <c r="W54" i="9"/>
  <c r="G68" i="8"/>
  <c r="W60" i="8"/>
  <c r="W59" i="8"/>
  <c r="G49" i="4"/>
  <c r="W39" i="4"/>
  <c r="H49" i="9"/>
  <c r="H68" i="8"/>
  <c r="G69" i="8"/>
  <c r="H49" i="4"/>
  <c r="G50" i="4"/>
  <c r="W38" i="4"/>
  <c r="G50" i="9"/>
  <c r="H69" i="8"/>
  <c r="H50" i="4"/>
  <c r="G51" i="4"/>
  <c r="H51" i="4"/>
  <c r="H50" i="9"/>
  <c r="G70" i="8"/>
  <c r="H70" i="8"/>
  <c r="G52" i="4"/>
  <c r="G51" i="9"/>
  <c r="H51" i="9"/>
  <c r="G71" i="8"/>
  <c r="H71" i="8"/>
  <c r="H52" i="4"/>
  <c r="G53" i="4"/>
  <c r="H53" i="4"/>
  <c r="G52" i="9"/>
  <c r="H52" i="9"/>
  <c r="G72" i="8"/>
  <c r="H72" i="8"/>
  <c r="G54" i="4"/>
  <c r="H54" i="4"/>
  <c r="G53" i="9"/>
  <c r="G73" i="8"/>
  <c r="H73" i="8"/>
  <c r="G55" i="4"/>
  <c r="H55" i="4"/>
  <c r="H53" i="9"/>
  <c r="G74" i="8"/>
  <c r="H74" i="8"/>
  <c r="G56" i="4"/>
  <c r="G54" i="9"/>
  <c r="H54" i="9"/>
  <c r="G75" i="8"/>
  <c r="H75" i="8"/>
  <c r="H56" i="4"/>
  <c r="G57" i="4"/>
  <c r="H57" i="4"/>
  <c r="G55" i="9"/>
  <c r="H55" i="9"/>
  <c r="G76" i="8"/>
  <c r="H76" i="8"/>
  <c r="G58" i="4"/>
  <c r="H58" i="4"/>
  <c r="G56" i="9"/>
  <c r="H56" i="9"/>
  <c r="H77" i="8"/>
  <c r="G77" i="8"/>
  <c r="G59" i="4"/>
  <c r="H59" i="4"/>
  <c r="G57" i="9"/>
  <c r="H57" i="9"/>
  <c r="G78" i="8"/>
  <c r="H78" i="8"/>
  <c r="G60" i="4"/>
  <c r="H60" i="4"/>
  <c r="G58" i="9"/>
  <c r="H58" i="9"/>
  <c r="G79" i="8"/>
  <c r="H79" i="8"/>
  <c r="G61" i="4"/>
  <c r="G59" i="9"/>
  <c r="H59" i="9"/>
  <c r="G80" i="8"/>
  <c r="W70" i="8"/>
  <c r="W69" i="8"/>
  <c r="H61" i="4"/>
  <c r="W51" i="4"/>
  <c r="W50" i="4"/>
  <c r="G62" i="4"/>
  <c r="G60" i="9"/>
  <c r="H60" i="9"/>
  <c r="H80" i="8"/>
  <c r="H62" i="4"/>
  <c r="G63" i="4"/>
  <c r="H63" i="4"/>
  <c r="G61" i="9"/>
  <c r="W66" i="9"/>
  <c r="G81" i="8"/>
  <c r="G64" i="4"/>
  <c r="H64" i="4"/>
  <c r="H61" i="9"/>
  <c r="H81" i="8"/>
  <c r="G65" i="4"/>
  <c r="H65" i="4"/>
  <c r="G62" i="9"/>
  <c r="G82" i="8"/>
  <c r="H82" i="8"/>
  <c r="G66" i="4"/>
  <c r="H62" i="9"/>
  <c r="G83" i="8"/>
  <c r="H83" i="8"/>
  <c r="H66" i="4"/>
  <c r="G67" i="4"/>
  <c r="H67" i="4"/>
  <c r="G63" i="9"/>
  <c r="H63" i="9"/>
  <c r="G84" i="8"/>
  <c r="H84" i="8"/>
  <c r="G68" i="4"/>
  <c r="G64" i="9"/>
  <c r="H64" i="9"/>
  <c r="G85" i="8"/>
  <c r="H85" i="8"/>
  <c r="H68" i="4"/>
  <c r="G69" i="4"/>
  <c r="H69" i="4"/>
  <c r="G65" i="9"/>
  <c r="H65" i="9"/>
  <c r="G86" i="8"/>
  <c r="H86" i="8"/>
  <c r="G70" i="4"/>
  <c r="H70" i="4"/>
  <c r="G66" i="9"/>
  <c r="H66" i="9"/>
  <c r="G87" i="8"/>
  <c r="H87" i="8"/>
  <c r="G71" i="4"/>
  <c r="H71" i="4"/>
  <c r="G67" i="9"/>
  <c r="H67" i="9"/>
  <c r="G88" i="8"/>
  <c r="H88" i="8"/>
  <c r="G72" i="4"/>
  <c r="H72" i="4"/>
  <c r="G68" i="9"/>
  <c r="H68" i="9"/>
  <c r="G89" i="8"/>
  <c r="H89" i="8"/>
  <c r="G73" i="4"/>
  <c r="G69" i="9"/>
  <c r="H69" i="9"/>
  <c r="G90" i="8"/>
  <c r="H90" i="8"/>
  <c r="G74" i="4"/>
  <c r="W67" i="4"/>
  <c r="W66" i="4"/>
  <c r="H73" i="4"/>
  <c r="G70" i="9"/>
  <c r="H70" i="9"/>
  <c r="G91" i="8"/>
  <c r="H91" i="8"/>
  <c r="G71" i="9"/>
  <c r="H71" i="9"/>
  <c r="H92" i="8"/>
  <c r="G92" i="8"/>
  <c r="G72" i="9"/>
  <c r="H72" i="9"/>
  <c r="G93" i="8"/>
  <c r="W86" i="8"/>
  <c r="W85" i="8"/>
  <c r="G73" i="9"/>
  <c r="H73" i="9"/>
  <c r="G74" i="9"/>
  <c r="G69" i="11"/>
  <c r="J26" i="11"/>
  <c r="L26" i="11"/>
  <c r="U27" i="11"/>
  <c r="K27" i="11"/>
  <c r="L27" i="11"/>
  <c r="K28" i="11"/>
  <c r="I57" i="11"/>
  <c r="U26" i="11"/>
  <c r="I39" i="11"/>
  <c r="I27" i="11"/>
  <c r="I51" i="11"/>
  <c r="I54" i="11"/>
  <c r="I48" i="11"/>
  <c r="I35" i="11"/>
  <c r="I49" i="11"/>
  <c r="I38" i="11"/>
  <c r="I31" i="11"/>
  <c r="I41" i="11"/>
  <c r="I47" i="11"/>
  <c r="I45" i="11"/>
  <c r="I34" i="11"/>
  <c r="I32" i="11"/>
  <c r="I28" i="11"/>
  <c r="I52" i="11"/>
  <c r="I58" i="11"/>
  <c r="I56" i="11"/>
  <c r="I53" i="11"/>
  <c r="I50" i="11"/>
  <c r="I46" i="11"/>
  <c r="I43" i="11"/>
  <c r="I29" i="11"/>
  <c r="I36" i="11"/>
  <c r="I42" i="11"/>
  <c r="I40" i="11"/>
  <c r="I59" i="11"/>
  <c r="I44" i="11"/>
  <c r="I33" i="11"/>
  <c r="I30" i="11"/>
  <c r="I37" i="11"/>
  <c r="I55" i="11"/>
  <c r="J27" i="11"/>
  <c r="U31" i="11"/>
  <c r="U32" i="11"/>
  <c r="U51" i="11"/>
  <c r="U39" i="11"/>
  <c r="J28" i="11"/>
  <c r="J29" i="11"/>
  <c r="J30" i="1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U40" i="11"/>
  <c r="L28" i="11"/>
  <c r="I60" i="11"/>
  <c r="U52" i="11"/>
  <c r="K29" i="11"/>
  <c r="L29" i="11"/>
  <c r="K30" i="11"/>
  <c r="L30" i="11"/>
  <c r="K31" i="11"/>
  <c r="L31" i="11"/>
  <c r="K32" i="11"/>
  <c r="L32" i="11"/>
  <c r="K33" i="11"/>
  <c r="L33" i="11"/>
  <c r="K34" i="11"/>
  <c r="L34" i="11"/>
  <c r="K35" i="11"/>
  <c r="L35" i="11"/>
  <c r="K36" i="11"/>
  <c r="L36" i="11"/>
  <c r="K37" i="11"/>
  <c r="L37" i="11"/>
  <c r="K38" i="11"/>
  <c r="U36" i="11"/>
  <c r="U35" i="11"/>
  <c r="L38" i="11"/>
  <c r="K39" i="11"/>
  <c r="L39" i="11"/>
  <c r="K40" i="11"/>
  <c r="L40" i="11"/>
  <c r="K41" i="11"/>
  <c r="L41" i="11"/>
  <c r="K42" i="11"/>
  <c r="L42" i="11"/>
  <c r="K43" i="11"/>
  <c r="L43" i="11"/>
  <c r="K44" i="11"/>
  <c r="L44" i="11"/>
  <c r="K45" i="11"/>
  <c r="L45" i="11"/>
  <c r="K46" i="11"/>
  <c r="L46" i="11"/>
  <c r="K47" i="11"/>
  <c r="L47" i="11"/>
  <c r="K48" i="11"/>
  <c r="L48" i="11"/>
  <c r="K49" i="11"/>
  <c r="L49" i="11"/>
  <c r="K50" i="11"/>
  <c r="U44" i="11"/>
  <c r="U43" i="11"/>
  <c r="L50" i="11"/>
  <c r="K51" i="11"/>
  <c r="L51" i="11"/>
  <c r="K52" i="11"/>
  <c r="L52" i="11"/>
  <c r="K53" i="11"/>
  <c r="L53" i="11"/>
  <c r="K54" i="11"/>
  <c r="L54" i="11"/>
  <c r="K55" i="11"/>
  <c r="L55" i="11"/>
  <c r="K56" i="11"/>
  <c r="L56" i="11"/>
  <c r="K57" i="11"/>
  <c r="L57" i="11"/>
  <c r="K58" i="11"/>
  <c r="L58" i="11"/>
  <c r="K59" i="11"/>
  <c r="K60" i="11"/>
  <c r="U56" i="11"/>
  <c r="L59" i="11"/>
  <c r="U55" i="11"/>
  <c r="T67" i="12"/>
  <c r="T68" i="12"/>
  <c r="F39" i="12"/>
  <c r="F40" i="12"/>
  <c r="F41" i="12"/>
  <c r="F42" i="12"/>
  <c r="F43" i="12"/>
  <c r="F44" i="12"/>
  <c r="F45" i="12"/>
  <c r="F46" i="12"/>
  <c r="F47" i="12"/>
  <c r="F48" i="12"/>
  <c r="F49" i="12"/>
  <c r="E50" i="12"/>
  <c r="G20" i="20" l="1"/>
  <c r="G16" i="17"/>
  <c r="H16" i="17" s="1"/>
  <c r="D29" i="7"/>
  <c r="C48" i="7"/>
  <c r="D41" i="7"/>
  <c r="L25" i="7"/>
  <c r="Z42" i="7"/>
  <c r="L58" i="7"/>
  <c r="L59" i="7"/>
  <c r="L48" i="7"/>
  <c r="L49" i="7"/>
  <c r="L50" i="7"/>
  <c r="L53" i="7"/>
  <c r="L56" i="7"/>
  <c r="L52" i="7"/>
  <c r="L57" i="7"/>
  <c r="L55" i="7"/>
  <c r="L54" i="7"/>
  <c r="L51" i="7"/>
  <c r="D39" i="7"/>
  <c r="L32" i="7"/>
  <c r="D48" i="7"/>
  <c r="D46" i="7"/>
  <c r="L28" i="7"/>
  <c r="D42" i="7"/>
  <c r="Z20" i="7"/>
  <c r="D38" i="7"/>
  <c r="Q59" i="14"/>
  <c r="T33" i="14" s="1"/>
  <c r="F59" i="14"/>
  <c r="G37" i="14" s="1"/>
  <c r="S34" i="14"/>
  <c r="S35" i="14" s="1"/>
  <c r="S36" i="14" s="1"/>
  <c r="S37" i="14" s="1"/>
  <c r="S38" i="14" s="1"/>
  <c r="S39" i="14" s="1"/>
  <c r="S40" i="14" s="1"/>
  <c r="S41" i="14" s="1"/>
  <c r="S42" i="14" s="1"/>
  <c r="S43" i="14" s="1"/>
  <c r="S44" i="14" s="1"/>
  <c r="AD44" i="14"/>
  <c r="AC50" i="14"/>
  <c r="AC58" i="14"/>
  <c r="AC52" i="14"/>
  <c r="AC49" i="14"/>
  <c r="AC54" i="14"/>
  <c r="AC51" i="14"/>
  <c r="AC56" i="14"/>
  <c r="AC53" i="14"/>
  <c r="AC47" i="14"/>
  <c r="AC55" i="14"/>
  <c r="S47" i="14"/>
  <c r="S48" i="14" s="1"/>
  <c r="S49" i="14" s="1"/>
  <c r="S50" i="14" s="1"/>
  <c r="S51" i="14" s="1"/>
  <c r="S52" i="14" s="1"/>
  <c r="S53" i="14" s="1"/>
  <c r="S54" i="14" s="1"/>
  <c r="S55" i="14" s="1"/>
  <c r="S56" i="14" s="1"/>
  <c r="S57" i="14" s="1"/>
  <c r="S58" i="14" s="1"/>
  <c r="AC48" i="14"/>
  <c r="AC57" i="14"/>
  <c r="R59" i="14"/>
  <c r="AE28" i="6"/>
  <c r="E40" i="6"/>
  <c r="E33" i="6"/>
  <c r="E49" i="6"/>
  <c r="E42" i="6"/>
  <c r="E35" i="6"/>
  <c r="E27" i="6"/>
  <c r="E44" i="6"/>
  <c r="E37" i="6"/>
  <c r="E46" i="6"/>
  <c r="E39" i="6"/>
  <c r="E28" i="6"/>
  <c r="E48" i="6"/>
  <c r="E41" i="6"/>
  <c r="E45" i="6"/>
  <c r="E30" i="6"/>
  <c r="E50" i="6"/>
  <c r="E43" i="6"/>
  <c r="E32" i="6"/>
  <c r="E29" i="6"/>
  <c r="E38" i="6"/>
  <c r="E31" i="6"/>
  <c r="E47" i="6"/>
  <c r="G27" i="6"/>
  <c r="E36" i="6"/>
  <c r="E34" i="6"/>
  <c r="M27" i="4"/>
  <c r="Q11" i="16"/>
  <c r="Q25" i="16"/>
  <c r="H10" i="16"/>
  <c r="D46" i="15"/>
  <c r="F9" i="15" s="1"/>
  <c r="U46" i="15"/>
  <c r="U44" i="15"/>
  <c r="U40" i="15"/>
  <c r="U36" i="15"/>
  <c r="U34" i="15"/>
  <c r="U32" i="15"/>
  <c r="U47" i="15"/>
  <c r="U42" i="15"/>
  <c r="U38" i="15"/>
  <c r="U37" i="15"/>
  <c r="U35" i="15"/>
  <c r="U33" i="15"/>
  <c r="U31" i="15"/>
  <c r="U21" i="15"/>
  <c r="U20" i="15"/>
  <c r="U18" i="15"/>
  <c r="U16" i="15"/>
  <c r="U45" i="15"/>
  <c r="U43" i="15"/>
  <c r="U41" i="15"/>
  <c r="U39" i="15"/>
  <c r="U30" i="15"/>
  <c r="U10" i="15"/>
  <c r="U19" i="15"/>
  <c r="U17" i="15"/>
  <c r="U15" i="15"/>
  <c r="U14" i="15"/>
  <c r="U13" i="15"/>
  <c r="U12" i="15"/>
  <c r="U11" i="15"/>
  <c r="U9" i="15"/>
  <c r="Z18" i="20" l="1"/>
  <c r="Z17" i="20" s="1"/>
  <c r="H20" i="20"/>
  <c r="G17" i="17"/>
  <c r="H17" i="17" s="1"/>
  <c r="L60" i="7"/>
  <c r="H10" i="7"/>
  <c r="F10" i="7"/>
  <c r="Z51" i="7"/>
  <c r="Z33" i="7"/>
  <c r="M60" i="7"/>
  <c r="Q23" i="7" s="1"/>
  <c r="P24" i="7" s="1"/>
  <c r="U21" i="14"/>
  <c r="U33" i="14"/>
  <c r="G42" i="14"/>
  <c r="G13" i="14"/>
  <c r="G54" i="14"/>
  <c r="G39" i="14"/>
  <c r="G40" i="14"/>
  <c r="G36" i="14"/>
  <c r="G35" i="14"/>
  <c r="G57" i="14"/>
  <c r="G44" i="14"/>
  <c r="G15" i="14"/>
  <c r="G47" i="14"/>
  <c r="G12" i="14"/>
  <c r="G17" i="14"/>
  <c r="G49" i="14"/>
  <c r="G18" i="14"/>
  <c r="G10" i="14"/>
  <c r="I10" i="14"/>
  <c r="G16" i="14"/>
  <c r="G51" i="14"/>
  <c r="G20" i="14"/>
  <c r="G56" i="14"/>
  <c r="G41" i="14"/>
  <c r="G50" i="14"/>
  <c r="G33" i="14"/>
  <c r="AO10" i="14"/>
  <c r="AO11" i="14" s="1"/>
  <c r="G38" i="14"/>
  <c r="G14" i="14"/>
  <c r="G21" i="14"/>
  <c r="G48" i="14"/>
  <c r="G53" i="14"/>
  <c r="G11" i="14"/>
  <c r="G52" i="14"/>
  <c r="G55" i="14"/>
  <c r="G19" i="14"/>
  <c r="G58" i="14"/>
  <c r="G43" i="14"/>
  <c r="G34" i="14"/>
  <c r="AC59" i="14"/>
  <c r="AO47" i="14"/>
  <c r="AO48" i="14" s="1"/>
  <c r="AD47" i="14"/>
  <c r="AD48" i="14" s="1"/>
  <c r="AD49" i="14" s="1"/>
  <c r="AD50" i="14" s="1"/>
  <c r="AD51" i="14" s="1"/>
  <c r="AD52" i="14" s="1"/>
  <c r="AD53" i="14" s="1"/>
  <c r="AD54" i="14" s="1"/>
  <c r="AD55" i="14" s="1"/>
  <c r="AD56" i="14" s="1"/>
  <c r="AD57" i="14" s="1"/>
  <c r="AD58" i="14" s="1"/>
  <c r="AE29" i="6"/>
  <c r="AE26" i="6" s="1"/>
  <c r="V30" i="6"/>
  <c r="V31" i="6" s="1"/>
  <c r="F27" i="6"/>
  <c r="F28" i="6" s="1"/>
  <c r="F29" i="6" s="1"/>
  <c r="F30" i="6" s="1"/>
  <c r="F31" i="6" s="1"/>
  <c r="F32" i="6" s="1"/>
  <c r="F33" i="6" s="1"/>
  <c r="F34" i="6" s="1"/>
  <c r="F35" i="6" s="1"/>
  <c r="F36" i="6" s="1"/>
  <c r="F37" i="6" s="1"/>
  <c r="F38" i="6" s="1"/>
  <c r="F39" i="6" s="1"/>
  <c r="F40" i="6" s="1"/>
  <c r="F41" i="6" s="1"/>
  <c r="F42" i="6" s="1"/>
  <c r="F43" i="6" s="1"/>
  <c r="F44" i="6" s="1"/>
  <c r="F45" i="6" s="1"/>
  <c r="F46" i="6" s="1"/>
  <c r="F47" i="6" s="1"/>
  <c r="F48" i="6" s="1"/>
  <c r="F49" i="6" s="1"/>
  <c r="F50" i="6" s="1"/>
  <c r="H27" i="6"/>
  <c r="G28" i="6" s="1"/>
  <c r="E51" i="6"/>
  <c r="V39" i="6"/>
  <c r="V40" i="6" s="1"/>
  <c r="N27" i="4"/>
  <c r="G11" i="16"/>
  <c r="H11" i="16" s="1"/>
  <c r="E46" i="16"/>
  <c r="E45" i="16"/>
  <c r="E43" i="16"/>
  <c r="E42" i="16"/>
  <c r="E41" i="16"/>
  <c r="E39" i="16"/>
  <c r="E38" i="16"/>
  <c r="E37" i="16"/>
  <c r="E36" i="16"/>
  <c r="E34" i="16"/>
  <c r="E33" i="16"/>
  <c r="E32" i="16"/>
  <c r="E30" i="16"/>
  <c r="E29" i="16"/>
  <c r="E28" i="16"/>
  <c r="E27" i="16"/>
  <c r="E25" i="16"/>
  <c r="E24" i="16"/>
  <c r="E23" i="16"/>
  <c r="E35" i="16"/>
  <c r="E31" i="16"/>
  <c r="E26" i="16"/>
  <c r="E21" i="16"/>
  <c r="E19" i="16"/>
  <c r="E17" i="16"/>
  <c r="E15" i="16"/>
  <c r="E14" i="16"/>
  <c r="E12" i="16"/>
  <c r="E44" i="16"/>
  <c r="E40" i="16"/>
  <c r="E20" i="16"/>
  <c r="E16" i="16"/>
  <c r="E22" i="16"/>
  <c r="E18" i="16"/>
  <c r="E13" i="16"/>
  <c r="E11" i="16"/>
  <c r="Q12" i="16"/>
  <c r="E34" i="15"/>
  <c r="E36" i="15"/>
  <c r="E38" i="15"/>
  <c r="E40" i="15"/>
  <c r="E42" i="15"/>
  <c r="E44" i="15"/>
  <c r="E35" i="15"/>
  <c r="E37" i="15"/>
  <c r="E39" i="15"/>
  <c r="E41" i="15"/>
  <c r="E43" i="15"/>
  <c r="E45" i="15"/>
  <c r="H9" i="15"/>
  <c r="Q13" i="15" s="1"/>
  <c r="E33" i="15"/>
  <c r="E32" i="15"/>
  <c r="E30" i="15"/>
  <c r="E29" i="15"/>
  <c r="E27" i="15"/>
  <c r="E26" i="15"/>
  <c r="E25" i="15"/>
  <c r="E23" i="15"/>
  <c r="E22" i="15"/>
  <c r="E21" i="15"/>
  <c r="E19" i="15"/>
  <c r="E17" i="15"/>
  <c r="E15" i="15"/>
  <c r="E14" i="15"/>
  <c r="E13" i="15"/>
  <c r="E12" i="15"/>
  <c r="E11" i="15"/>
  <c r="E31" i="15"/>
  <c r="E28" i="15"/>
  <c r="E24" i="15"/>
  <c r="E20" i="15"/>
  <c r="E18" i="15"/>
  <c r="E16" i="15"/>
  <c r="E10" i="15"/>
  <c r="G21" i="20" l="1"/>
  <c r="G18" i="17"/>
  <c r="Q24" i="7"/>
  <c r="P25" i="7" s="1"/>
  <c r="E12" i="7"/>
  <c r="E29" i="7"/>
  <c r="E45" i="7"/>
  <c r="E26" i="7"/>
  <c r="E42" i="7"/>
  <c r="E44" i="7"/>
  <c r="E14" i="7"/>
  <c r="E31" i="7"/>
  <c r="E28" i="7"/>
  <c r="E16" i="7"/>
  <c r="E33" i="7"/>
  <c r="E13" i="7"/>
  <c r="E30" i="7"/>
  <c r="E46" i="7"/>
  <c r="E18" i="7"/>
  <c r="E35" i="7"/>
  <c r="E15" i="7"/>
  <c r="E32" i="7"/>
  <c r="E11" i="7"/>
  <c r="E20" i="7"/>
  <c r="E37" i="7"/>
  <c r="E17" i="7"/>
  <c r="E34" i="7"/>
  <c r="E43" i="7"/>
  <c r="Z10" i="7"/>
  <c r="E22" i="7"/>
  <c r="E39" i="7"/>
  <c r="E19" i="7"/>
  <c r="E36" i="7"/>
  <c r="E27" i="7"/>
  <c r="E40" i="7"/>
  <c r="E25" i="7"/>
  <c r="E41" i="7"/>
  <c r="E21" i="7"/>
  <c r="E38" i="7"/>
  <c r="E24" i="7"/>
  <c r="Z11" i="7"/>
  <c r="G11" i="7"/>
  <c r="H11" i="7"/>
  <c r="J10" i="14"/>
  <c r="I11" i="14" s="1"/>
  <c r="J11" i="14" s="1"/>
  <c r="I12" i="14" s="1"/>
  <c r="T34" i="14"/>
  <c r="H11" i="14"/>
  <c r="H12" i="14" s="1"/>
  <c r="H13" i="14" s="1"/>
  <c r="H14" i="14" s="1"/>
  <c r="H15" i="14" s="1"/>
  <c r="H16" i="14" s="1"/>
  <c r="H17" i="14" s="1"/>
  <c r="H18" i="14" s="1"/>
  <c r="H19" i="14" s="1"/>
  <c r="H20" i="14" s="1"/>
  <c r="H21" i="14" s="1"/>
  <c r="AO30" i="14" s="1"/>
  <c r="AO28" i="14"/>
  <c r="G59" i="14"/>
  <c r="AO14" i="14"/>
  <c r="AO15" i="14" s="1"/>
  <c r="H28" i="6"/>
  <c r="G29" i="6"/>
  <c r="M28" i="4"/>
  <c r="Q22" i="15"/>
  <c r="G10" i="15"/>
  <c r="Q15" i="16"/>
  <c r="Q16" i="16" s="1"/>
  <c r="Q26" i="16" s="1"/>
  <c r="E47" i="16"/>
  <c r="F11" i="16"/>
  <c r="F12" i="16" s="1"/>
  <c r="F13" i="16" s="1"/>
  <c r="F14" i="16" s="1"/>
  <c r="F15" i="16" s="1"/>
  <c r="F16" i="16" s="1"/>
  <c r="F17" i="16" s="1"/>
  <c r="F18" i="16" s="1"/>
  <c r="F19" i="16" s="1"/>
  <c r="F20" i="16" s="1"/>
  <c r="F21" i="16" s="1"/>
  <c r="F22" i="16" s="1"/>
  <c r="H10" i="15"/>
  <c r="G11" i="15" s="1"/>
  <c r="Q23" i="15"/>
  <c r="Q31" i="15"/>
  <c r="Q32" i="15" s="1"/>
  <c r="F10" i="15"/>
  <c r="F11" i="15" s="1"/>
  <c r="F12" i="15" s="1"/>
  <c r="F13" i="15" s="1"/>
  <c r="F14" i="15" s="1"/>
  <c r="F15" i="15" s="1"/>
  <c r="F16" i="15" s="1"/>
  <c r="F17" i="15" s="1"/>
  <c r="F18" i="15" s="1"/>
  <c r="F19" i="15" s="1"/>
  <c r="F20" i="15" s="1"/>
  <c r="F21" i="15" s="1"/>
  <c r="F22" i="15" s="1"/>
  <c r="F23" i="15" s="1"/>
  <c r="F24" i="15" s="1"/>
  <c r="F25" i="15" s="1"/>
  <c r="F26" i="15" s="1"/>
  <c r="F27" i="15" s="1"/>
  <c r="F28" i="15" s="1"/>
  <c r="F29" i="15" s="1"/>
  <c r="F30" i="15" s="1"/>
  <c r="F31" i="15" s="1"/>
  <c r="F32" i="15" s="1"/>
  <c r="F33" i="15" s="1"/>
  <c r="F34" i="15" s="1"/>
  <c r="F35" i="15" s="1"/>
  <c r="F36" i="15" s="1"/>
  <c r="F37" i="15" s="1"/>
  <c r="F38" i="15" s="1"/>
  <c r="F39" i="15" s="1"/>
  <c r="F40" i="15" s="1"/>
  <c r="F41" i="15" s="1"/>
  <c r="F42" i="15" s="1"/>
  <c r="F43" i="15" s="1"/>
  <c r="F44" i="15" s="1"/>
  <c r="F45" i="15" s="1"/>
  <c r="H21" i="20" l="1"/>
  <c r="G22" i="20" s="1"/>
  <c r="H18" i="17"/>
  <c r="E48" i="7"/>
  <c r="Z14" i="7"/>
  <c r="Z15" i="7" s="1"/>
  <c r="G12" i="7"/>
  <c r="H12" i="7"/>
  <c r="F11" i="7"/>
  <c r="F12" i="7" s="1"/>
  <c r="F13" i="7" s="1"/>
  <c r="F14" i="7" s="1"/>
  <c r="F15" i="7" s="1"/>
  <c r="F16" i="7" s="1"/>
  <c r="F17" i="7" s="1"/>
  <c r="F18" i="7" s="1"/>
  <c r="F19" i="7" s="1"/>
  <c r="F20" i="7" s="1"/>
  <c r="F21" i="7" s="1"/>
  <c r="F22" i="7" s="1"/>
  <c r="J12" i="14"/>
  <c r="I13" i="14" s="1"/>
  <c r="U34" i="14"/>
  <c r="AO29" i="14"/>
  <c r="H33" i="14"/>
  <c r="H34" i="14" s="1"/>
  <c r="H35" i="14" s="1"/>
  <c r="H36" i="14" s="1"/>
  <c r="H37" i="14" s="1"/>
  <c r="H38" i="14" s="1"/>
  <c r="H39" i="14" s="1"/>
  <c r="H40" i="14" s="1"/>
  <c r="H41" i="14" s="1"/>
  <c r="H42" i="14" s="1"/>
  <c r="H43" i="14" s="1"/>
  <c r="H44" i="14" s="1"/>
  <c r="H47" i="14" s="1"/>
  <c r="H48" i="14" s="1"/>
  <c r="H49" i="14" s="1"/>
  <c r="H50" i="14" s="1"/>
  <c r="H51" i="14" s="1"/>
  <c r="H52" i="14" s="1"/>
  <c r="H53" i="14" s="1"/>
  <c r="H54" i="14" s="1"/>
  <c r="H55" i="14" s="1"/>
  <c r="H56" i="14" s="1"/>
  <c r="H57" i="14" s="1"/>
  <c r="H58" i="14" s="1"/>
  <c r="H29" i="6"/>
  <c r="G30" i="6"/>
  <c r="H30" i="6" s="1"/>
  <c r="N28" i="4"/>
  <c r="F23" i="16"/>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G12" i="16"/>
  <c r="H12" i="16" s="1"/>
  <c r="H11" i="15"/>
  <c r="G12" i="15"/>
  <c r="H12" i="15" s="1"/>
  <c r="H22" i="20" l="1"/>
  <c r="G23" i="20" s="1"/>
  <c r="Z23" i="20"/>
  <c r="G19" i="17"/>
  <c r="H19" i="17" s="1"/>
  <c r="G13" i="7"/>
  <c r="H13" i="7"/>
  <c r="F24" i="7"/>
  <c r="F25" i="7" s="1"/>
  <c r="F26" i="7" s="1"/>
  <c r="F27" i="7" s="1"/>
  <c r="F28" i="7" s="1"/>
  <c r="F29" i="7" s="1"/>
  <c r="F30" i="7" s="1"/>
  <c r="F31" i="7" s="1"/>
  <c r="F32" i="7" s="1"/>
  <c r="F33" i="7" s="1"/>
  <c r="F34" i="7" s="1"/>
  <c r="F35" i="7" s="1"/>
  <c r="F36" i="7" s="1"/>
  <c r="F37" i="7" s="1"/>
  <c r="F38" i="7" s="1"/>
  <c r="F39" i="7" s="1"/>
  <c r="F40" i="7" s="1"/>
  <c r="F41" i="7" s="1"/>
  <c r="F42" i="7" s="1"/>
  <c r="F43" i="7" s="1"/>
  <c r="F44" i="7" s="1"/>
  <c r="F45" i="7" s="1"/>
  <c r="F46" i="7" s="1"/>
  <c r="F47" i="7" s="1"/>
  <c r="Q25" i="7"/>
  <c r="P26" i="7" s="1"/>
  <c r="J13" i="14"/>
  <c r="I14" i="14" s="1"/>
  <c r="J14" i="14" s="1"/>
  <c r="T35" i="14"/>
  <c r="U35" i="14" s="1"/>
  <c r="G31" i="6"/>
  <c r="M29" i="4"/>
  <c r="N29" i="4" s="1"/>
  <c r="G13" i="16"/>
  <c r="H13" i="16" s="1"/>
  <c r="Q40" i="15"/>
  <c r="Q41" i="15" s="1"/>
  <c r="E46" i="15"/>
  <c r="G13" i="15"/>
  <c r="H23" i="20" l="1"/>
  <c r="G24" i="20" s="1"/>
  <c r="G20" i="17"/>
  <c r="H20" i="17" s="1"/>
  <c r="G14" i="7"/>
  <c r="H14" i="7" s="1"/>
  <c r="T36" i="14"/>
  <c r="U36" i="14" s="1"/>
  <c r="I15" i="14"/>
  <c r="J15" i="14" s="1"/>
  <c r="H31" i="6"/>
  <c r="G32" i="6" s="1"/>
  <c r="M30" i="4"/>
  <c r="N30" i="4" s="1"/>
  <c r="G14" i="16"/>
  <c r="H14" i="16"/>
  <c r="H13" i="15"/>
  <c r="G14" i="15"/>
  <c r="H14" i="15" s="1"/>
  <c r="H24" i="20" l="1"/>
  <c r="G25" i="20" s="1"/>
  <c r="Q34" i="20"/>
  <c r="P35" i="20" s="1"/>
  <c r="G21" i="17"/>
  <c r="H21" i="17" s="1"/>
  <c r="G15" i="7"/>
  <c r="H15" i="7"/>
  <c r="Q26" i="7"/>
  <c r="P27" i="7" s="1"/>
  <c r="T37" i="14"/>
  <c r="I16" i="14"/>
  <c r="J16" i="14" s="1"/>
  <c r="H32" i="6"/>
  <c r="G33" i="6" s="1"/>
  <c r="H33" i="6" s="1"/>
  <c r="AE27" i="6"/>
  <c r="AE30" i="6"/>
  <c r="M31" i="4"/>
  <c r="G15" i="16"/>
  <c r="H15" i="16"/>
  <c r="G15" i="15"/>
  <c r="H25" i="20" l="1"/>
  <c r="G26" i="20" s="1"/>
  <c r="H26" i="20" s="1"/>
  <c r="Q35" i="20"/>
  <c r="P36" i="20" s="1"/>
  <c r="G22" i="17"/>
  <c r="H22" i="17" s="1"/>
  <c r="G16" i="7"/>
  <c r="H16" i="7"/>
  <c r="U37" i="14"/>
  <c r="I17" i="14"/>
  <c r="H34" i="6"/>
  <c r="G34" i="6"/>
  <c r="N31" i="4"/>
  <c r="G16" i="16"/>
  <c r="H15" i="15"/>
  <c r="G16" i="15" s="1"/>
  <c r="H16" i="15" s="1"/>
  <c r="Q36" i="20" l="1"/>
  <c r="P37" i="20" s="1"/>
  <c r="G27" i="20"/>
  <c r="H27" i="20" s="1"/>
  <c r="G23" i="17"/>
  <c r="S20" i="17" s="1"/>
  <c r="S19" i="17" s="1"/>
  <c r="G17" i="7"/>
  <c r="Q27" i="7"/>
  <c r="P28" i="7" s="1"/>
  <c r="T38" i="14"/>
  <c r="U38" i="14" s="1"/>
  <c r="J17" i="14"/>
  <c r="G35" i="6"/>
  <c r="H35" i="6" s="1"/>
  <c r="M32" i="4"/>
  <c r="H16" i="16"/>
  <c r="G17" i="15"/>
  <c r="H17" i="15" s="1"/>
  <c r="G28" i="20" l="1"/>
  <c r="H28" i="20" s="1"/>
  <c r="Q37" i="20"/>
  <c r="P38" i="20" s="1"/>
  <c r="H23" i="17"/>
  <c r="Q28" i="7"/>
  <c r="P29" i="7" s="1"/>
  <c r="H17" i="7"/>
  <c r="T39" i="14"/>
  <c r="U39" i="14" s="1"/>
  <c r="I18" i="14"/>
  <c r="J18" i="14" s="1"/>
  <c r="G36" i="6"/>
  <c r="H36" i="6" s="1"/>
  <c r="N32" i="4"/>
  <c r="G17" i="16"/>
  <c r="H17" i="16"/>
  <c r="G18" i="15"/>
  <c r="H18" i="15" s="1"/>
  <c r="Q38" i="20" l="1"/>
  <c r="P39" i="20" s="1"/>
  <c r="G29" i="20"/>
  <c r="H29" i="20" s="1"/>
  <c r="H24" i="17"/>
  <c r="G18" i="7"/>
  <c r="H18" i="7"/>
  <c r="Q29" i="7"/>
  <c r="P30" i="7" s="1"/>
  <c r="T40" i="14"/>
  <c r="U40" i="14" s="1"/>
  <c r="I19" i="14"/>
  <c r="J19" i="14" s="1"/>
  <c r="G37" i="6"/>
  <c r="H37" i="6" s="1"/>
  <c r="M33" i="4"/>
  <c r="N33" i="4" s="1"/>
  <c r="G18" i="16"/>
  <c r="H18" i="16" s="1"/>
  <c r="G19" i="15"/>
  <c r="H19" i="15" s="1"/>
  <c r="G30" i="20" l="1"/>
  <c r="H30" i="20" s="1"/>
  <c r="Q39" i="20"/>
  <c r="P40" i="20" s="1"/>
  <c r="G25" i="17"/>
  <c r="H25" i="17" s="1"/>
  <c r="Q30" i="7"/>
  <c r="P31" i="7" s="1"/>
  <c r="G19" i="7"/>
  <c r="H19" i="7" s="1"/>
  <c r="T41" i="14"/>
  <c r="U41" i="14" s="1"/>
  <c r="I20" i="14"/>
  <c r="J20" i="14" s="1"/>
  <c r="G38" i="6"/>
  <c r="V35" i="6" s="1"/>
  <c r="V34" i="6" s="1"/>
  <c r="H38" i="6"/>
  <c r="M34" i="4"/>
  <c r="N34" i="4"/>
  <c r="G19" i="16"/>
  <c r="H19" i="16"/>
  <c r="G20" i="15"/>
  <c r="H20" i="15" s="1"/>
  <c r="G31" i="20" l="1"/>
  <c r="H31" i="20" s="1"/>
  <c r="Q40" i="20"/>
  <c r="P41" i="20" s="1"/>
  <c r="G26" i="17"/>
  <c r="G20" i="7"/>
  <c r="H20" i="7"/>
  <c r="Q31" i="7"/>
  <c r="P32" i="7" s="1"/>
  <c r="T42" i="14"/>
  <c r="U42" i="14" s="1"/>
  <c r="I21" i="14"/>
  <c r="AO18" i="14" s="1"/>
  <c r="G39" i="6"/>
  <c r="M35" i="4"/>
  <c r="N35" i="4" s="1"/>
  <c r="G20" i="16"/>
  <c r="H20" i="16" s="1"/>
  <c r="G21" i="15"/>
  <c r="Q27" i="15" s="1"/>
  <c r="Q41" i="20" l="1"/>
  <c r="P42" i="20" s="1"/>
  <c r="G32" i="20"/>
  <c r="H26" i="17"/>
  <c r="Q32" i="7"/>
  <c r="P33" i="7" s="1"/>
  <c r="G21" i="7"/>
  <c r="H21" i="7"/>
  <c r="J21" i="14"/>
  <c r="AO24" i="14" s="1"/>
  <c r="AO25" i="14" s="1"/>
  <c r="T43" i="14"/>
  <c r="U43" i="14" s="1"/>
  <c r="T44" i="14" s="1"/>
  <c r="AO19" i="14"/>
  <c r="AO21" i="14" s="1"/>
  <c r="H39" i="6"/>
  <c r="G40" i="6" s="1"/>
  <c r="M36" i="4"/>
  <c r="N36" i="4"/>
  <c r="H21" i="15"/>
  <c r="G21" i="16"/>
  <c r="H21" i="16" s="1"/>
  <c r="Q26" i="15"/>
  <c r="G22" i="15"/>
  <c r="H32" i="20" l="1"/>
  <c r="Z27" i="20"/>
  <c r="Z26" i="20" s="1"/>
  <c r="G33" i="20"/>
  <c r="H33" i="20" s="1"/>
  <c r="Q42" i="20"/>
  <c r="P43" i="20" s="1"/>
  <c r="G27" i="17"/>
  <c r="G22" i="7"/>
  <c r="Z19" i="7" s="1"/>
  <c r="Z18" i="7" s="1"/>
  <c r="H22" i="7"/>
  <c r="Q33" i="7"/>
  <c r="P34" i="7" s="1"/>
  <c r="I33" i="14"/>
  <c r="J33" i="14" s="1"/>
  <c r="I34" i="14" s="1"/>
  <c r="J34" i="14" s="1"/>
  <c r="H40" i="6"/>
  <c r="G41" i="6"/>
  <c r="H41" i="6" s="1"/>
  <c r="M37" i="4"/>
  <c r="G22" i="16"/>
  <c r="Q20" i="16" s="1"/>
  <c r="Q19" i="16" s="1"/>
  <c r="H22" i="15"/>
  <c r="G23" i="15" s="1"/>
  <c r="H23" i="15" s="1"/>
  <c r="Z31" i="20" l="1"/>
  <c r="Z30" i="20" s="1"/>
  <c r="O32" i="20"/>
  <c r="G34" i="20"/>
  <c r="H34" i="20" s="1"/>
  <c r="Q43" i="20"/>
  <c r="P44" i="20" s="1"/>
  <c r="Z39" i="20" s="1"/>
  <c r="Z38" i="20" s="1"/>
  <c r="H27" i="17"/>
  <c r="Q34" i="7"/>
  <c r="P35" i="7" s="1"/>
  <c r="G24" i="7"/>
  <c r="H24" i="7" s="1"/>
  <c r="Z23" i="7"/>
  <c r="AO37" i="14"/>
  <c r="AO38" i="14"/>
  <c r="U44" i="14"/>
  <c r="T47" i="14" s="1"/>
  <c r="I35" i="14"/>
  <c r="J35" i="14"/>
  <c r="G42" i="6"/>
  <c r="H42" i="6" s="1"/>
  <c r="AD31" i="4"/>
  <c r="AD32" i="4" s="1"/>
  <c r="AK31" i="4"/>
  <c r="AK30" i="4" s="1"/>
  <c r="N37" i="4"/>
  <c r="H22" i="16"/>
  <c r="G24" i="15"/>
  <c r="N36" i="20" l="1"/>
  <c r="N44" i="20"/>
  <c r="N52" i="20"/>
  <c r="N35" i="20"/>
  <c r="N37" i="20"/>
  <c r="N45" i="20"/>
  <c r="N53" i="20"/>
  <c r="N51" i="20"/>
  <c r="N38" i="20"/>
  <c r="N46" i="20"/>
  <c r="N54" i="20"/>
  <c r="N39" i="20"/>
  <c r="N47" i="20"/>
  <c r="N55" i="20"/>
  <c r="N50" i="20"/>
  <c r="N40" i="20"/>
  <c r="N48" i="20"/>
  <c r="N56" i="20"/>
  <c r="N42" i="20"/>
  <c r="N41" i="20"/>
  <c r="N49" i="20"/>
  <c r="N33" i="20"/>
  <c r="N34" i="20"/>
  <c r="N43" i="20"/>
  <c r="G35" i="20"/>
  <c r="H35" i="20" s="1"/>
  <c r="Q44" i="20"/>
  <c r="P45" i="20" s="1"/>
  <c r="G28" i="17"/>
  <c r="H28" i="17" s="1"/>
  <c r="Z32" i="7"/>
  <c r="Z31" i="7" s="1"/>
  <c r="Q35" i="7"/>
  <c r="P36" i="7" s="1"/>
  <c r="Z24" i="7"/>
  <c r="O23" i="7"/>
  <c r="G25" i="7"/>
  <c r="H25" i="7" s="1"/>
  <c r="AO40" i="14"/>
  <c r="U47" i="14"/>
  <c r="I36" i="14"/>
  <c r="J36" i="14" s="1"/>
  <c r="G43" i="6"/>
  <c r="M38" i="4"/>
  <c r="N38" i="4"/>
  <c r="Q24" i="16"/>
  <c r="G23" i="16"/>
  <c r="H23" i="16" s="1"/>
  <c r="H24" i="15"/>
  <c r="Z43" i="20" l="1"/>
  <c r="Z44" i="20" s="1"/>
  <c r="N57" i="20"/>
  <c r="Z34" i="20"/>
  <c r="Z35" i="20" s="1"/>
  <c r="O33" i="20"/>
  <c r="O34" i="20" s="1"/>
  <c r="O35" i="20" s="1"/>
  <c r="O36" i="20" s="1"/>
  <c r="O37" i="20" s="1"/>
  <c r="O38" i="20" s="1"/>
  <c r="O39" i="20" s="1"/>
  <c r="O40" i="20" s="1"/>
  <c r="O41" i="20" s="1"/>
  <c r="O42" i="20" s="1"/>
  <c r="O43" i="20" s="1"/>
  <c r="O44" i="20" s="1"/>
  <c r="O45" i="20" s="1"/>
  <c r="O46" i="20" s="1"/>
  <c r="O47" i="20" s="1"/>
  <c r="O48" i="20" s="1"/>
  <c r="O49" i="20" s="1"/>
  <c r="O50" i="20" s="1"/>
  <c r="O51" i="20" s="1"/>
  <c r="O52" i="20" s="1"/>
  <c r="O53" i="20" s="1"/>
  <c r="O54" i="20" s="1"/>
  <c r="O55" i="20" s="1"/>
  <c r="O56" i="20" s="1"/>
  <c r="Q45" i="20"/>
  <c r="P46" i="20" s="1"/>
  <c r="G36" i="20"/>
  <c r="H36" i="20" s="1"/>
  <c r="G29" i="17"/>
  <c r="H29" i="17" s="1"/>
  <c r="G26" i="7"/>
  <c r="H26" i="7" s="1"/>
  <c r="N28" i="7"/>
  <c r="N44" i="7"/>
  <c r="N24" i="7"/>
  <c r="N39" i="7"/>
  <c r="N55" i="7"/>
  <c r="N46" i="7"/>
  <c r="N25" i="7"/>
  <c r="N57" i="7"/>
  <c r="N30" i="7"/>
  <c r="N41" i="7"/>
  <c r="N32" i="7"/>
  <c r="N48" i="7"/>
  <c r="N27" i="7"/>
  <c r="N43" i="7"/>
  <c r="N59" i="7"/>
  <c r="N34" i="7"/>
  <c r="N50" i="7"/>
  <c r="N29" i="7"/>
  <c r="N45" i="7"/>
  <c r="O24" i="7"/>
  <c r="N36" i="7"/>
  <c r="N52" i="7"/>
  <c r="N31" i="7"/>
  <c r="N47" i="7"/>
  <c r="N58" i="7"/>
  <c r="N38" i="7"/>
  <c r="N54" i="7"/>
  <c r="N33" i="7"/>
  <c r="N49" i="7"/>
  <c r="N26" i="7"/>
  <c r="N37" i="7"/>
  <c r="N40" i="7"/>
  <c r="N56" i="7"/>
  <c r="N35" i="7"/>
  <c r="N51" i="7"/>
  <c r="N42" i="7"/>
  <c r="N53" i="7"/>
  <c r="T48" i="14"/>
  <c r="U48" i="14" s="1"/>
  <c r="I37" i="14"/>
  <c r="J37" i="14" s="1"/>
  <c r="H43" i="6"/>
  <c r="G44" i="6"/>
  <c r="H44" i="6" s="1"/>
  <c r="M39" i="4"/>
  <c r="N39" i="4" s="1"/>
  <c r="G24" i="16"/>
  <c r="H24" i="16"/>
  <c r="G25" i="15"/>
  <c r="G37" i="20" l="1"/>
  <c r="H37" i="20" s="1"/>
  <c r="Q46" i="20"/>
  <c r="P47" i="20" s="1"/>
  <c r="G30" i="17"/>
  <c r="H30" i="17" s="1"/>
  <c r="Z36" i="7"/>
  <c r="O25" i="7"/>
  <c r="Z45" i="7"/>
  <c r="Z46" i="7" s="1"/>
  <c r="Z37" i="7"/>
  <c r="O26" i="7"/>
  <c r="O27" i="7" s="1"/>
  <c r="O28" i="7" s="1"/>
  <c r="O29" i="7" s="1"/>
  <c r="O30" i="7" s="1"/>
  <c r="O31" i="7" s="1"/>
  <c r="O32" i="7" s="1"/>
  <c r="O33" i="7" s="1"/>
  <c r="O34" i="7" s="1"/>
  <c r="O35" i="7" s="1"/>
  <c r="O36" i="7" s="1"/>
  <c r="O37" i="7" s="1"/>
  <c r="O38" i="7" s="1"/>
  <c r="O39" i="7" s="1"/>
  <c r="O40" i="7" s="1"/>
  <c r="O41" i="7" s="1"/>
  <c r="O42" i="7" s="1"/>
  <c r="O43" i="7" s="1"/>
  <c r="O44" i="7" s="1"/>
  <c r="O45" i="7" s="1"/>
  <c r="O46" i="7" s="1"/>
  <c r="O47" i="7" s="1"/>
  <c r="G27" i="7"/>
  <c r="H27" i="7" s="1"/>
  <c r="N60" i="7"/>
  <c r="Z27" i="7"/>
  <c r="Z28" i="7" s="1"/>
  <c r="Q36" i="7"/>
  <c r="P37" i="7" s="1"/>
  <c r="T49" i="14"/>
  <c r="U49" i="14" s="1"/>
  <c r="I38" i="14"/>
  <c r="J38" i="14" s="1"/>
  <c r="G45" i="6"/>
  <c r="H45" i="6" s="1"/>
  <c r="M40" i="4"/>
  <c r="N40" i="4"/>
  <c r="G25" i="16"/>
  <c r="H25" i="16"/>
  <c r="H25" i="15"/>
  <c r="G26" i="15"/>
  <c r="H26" i="15" s="1"/>
  <c r="Q47" i="20" l="1"/>
  <c r="P48" i="20" s="1"/>
  <c r="G38" i="20"/>
  <c r="H38" i="20" s="1"/>
  <c r="G31" i="17"/>
  <c r="H31" i="17" s="1"/>
  <c r="G28" i="7"/>
  <c r="H28" i="7"/>
  <c r="O48" i="7"/>
  <c r="O49" i="7" s="1"/>
  <c r="O50" i="7" s="1"/>
  <c r="O51" i="7" s="1"/>
  <c r="O52" i="7" s="1"/>
  <c r="O53" i="7" s="1"/>
  <c r="O54" i="7" s="1"/>
  <c r="O55" i="7" s="1"/>
  <c r="O56" i="7" s="1"/>
  <c r="O57" i="7" s="1"/>
  <c r="O58" i="7" s="1"/>
  <c r="O59" i="7" s="1"/>
  <c r="T50" i="14"/>
  <c r="U50" i="14" s="1"/>
  <c r="I39" i="14"/>
  <c r="J39" i="14"/>
  <c r="G46" i="6"/>
  <c r="H46" i="6" s="1"/>
  <c r="M41" i="4"/>
  <c r="N41" i="4" s="1"/>
  <c r="G26" i="16"/>
  <c r="H26" i="16" s="1"/>
  <c r="G27" i="15"/>
  <c r="G39" i="20" l="1"/>
  <c r="H39" i="20" s="1"/>
  <c r="Q48" i="20"/>
  <c r="P49" i="20" s="1"/>
  <c r="G32" i="17"/>
  <c r="H32" i="17" s="1"/>
  <c r="G29" i="7"/>
  <c r="H29" i="7" s="1"/>
  <c r="Q37" i="7"/>
  <c r="P38" i="7" s="1"/>
  <c r="T51" i="14"/>
  <c r="U51" i="14" s="1"/>
  <c r="I40" i="14"/>
  <c r="J40" i="14" s="1"/>
  <c r="G47" i="6"/>
  <c r="H47" i="6" s="1"/>
  <c r="M42" i="4"/>
  <c r="N42" i="4" s="1"/>
  <c r="G27" i="16"/>
  <c r="H27" i="16"/>
  <c r="H27" i="15"/>
  <c r="G28" i="15"/>
  <c r="H28" i="15" s="1"/>
  <c r="Q49" i="20" l="1"/>
  <c r="P50" i="20" s="1"/>
  <c r="G40" i="20"/>
  <c r="H40" i="20" s="1"/>
  <c r="G33" i="17"/>
  <c r="H33" i="17" s="1"/>
  <c r="G30" i="7"/>
  <c r="H30" i="7" s="1"/>
  <c r="Q38" i="7"/>
  <c r="P39" i="7" s="1"/>
  <c r="T52" i="14"/>
  <c r="U52" i="14"/>
  <c r="I41" i="14"/>
  <c r="J41" i="14" s="1"/>
  <c r="G48" i="6"/>
  <c r="H48" i="6" s="1"/>
  <c r="M43" i="4"/>
  <c r="N43" i="4"/>
  <c r="G28" i="16"/>
  <c r="H28" i="16"/>
  <c r="G29" i="15"/>
  <c r="H29" i="15" s="1"/>
  <c r="G41" i="20" l="1"/>
  <c r="H41" i="20" s="1"/>
  <c r="Q50" i="20"/>
  <c r="P51" i="20" s="1"/>
  <c r="G34" i="17"/>
  <c r="H34" i="17" s="1"/>
  <c r="Q39" i="7"/>
  <c r="P40" i="7" s="1"/>
  <c r="G31" i="7"/>
  <c r="H31" i="7" s="1"/>
  <c r="T53" i="14"/>
  <c r="U53" i="14"/>
  <c r="I42" i="14"/>
  <c r="J42" i="14" s="1"/>
  <c r="G49" i="6"/>
  <c r="H49" i="6"/>
  <c r="M44" i="4"/>
  <c r="N44" i="4" s="1"/>
  <c r="G29" i="16"/>
  <c r="H29" i="16"/>
  <c r="G30" i="15"/>
  <c r="H30" i="15" s="1"/>
  <c r="G42" i="20" l="1"/>
  <c r="H42" i="20" s="1"/>
  <c r="Q51" i="20"/>
  <c r="P52" i="20" s="1"/>
  <c r="G35" i="17"/>
  <c r="H35" i="17" s="1"/>
  <c r="G32" i="7"/>
  <c r="H32" i="7" s="1"/>
  <c r="Q40" i="7"/>
  <c r="P41" i="7" s="1"/>
  <c r="T54" i="14"/>
  <c r="U54" i="14" s="1"/>
  <c r="I43" i="14"/>
  <c r="J43" i="14" s="1"/>
  <c r="G50" i="6"/>
  <c r="H50" i="6"/>
  <c r="M45" i="4"/>
  <c r="N45" i="4"/>
  <c r="G30" i="16"/>
  <c r="H30" i="16"/>
  <c r="G31" i="15"/>
  <c r="H31" i="15" s="1"/>
  <c r="Q52" i="20" l="1"/>
  <c r="P53" i="20" s="1"/>
  <c r="G43" i="20"/>
  <c r="H43" i="20" s="1"/>
  <c r="G36" i="17"/>
  <c r="S37" i="17" s="1"/>
  <c r="S36" i="17" s="1"/>
  <c r="Q41" i="7"/>
  <c r="P42" i="7" s="1"/>
  <c r="G33" i="7"/>
  <c r="H33" i="7"/>
  <c r="T55" i="14"/>
  <c r="U55" i="14" s="1"/>
  <c r="I44" i="14"/>
  <c r="J44" i="14" s="1"/>
  <c r="G51" i="6"/>
  <c r="V44" i="6"/>
  <c r="V43" i="6" s="1"/>
  <c r="M46" i="4"/>
  <c r="G31" i="16"/>
  <c r="H31" i="16" s="1"/>
  <c r="G32" i="15"/>
  <c r="H32" i="15" s="1"/>
  <c r="G44" i="20" l="1"/>
  <c r="H44" i="20" s="1"/>
  <c r="Q53" i="20"/>
  <c r="P54" i="20" s="1"/>
  <c r="H36" i="17"/>
  <c r="G37" i="17" s="1"/>
  <c r="H37" i="17" s="1"/>
  <c r="G34" i="7"/>
  <c r="H34" i="7"/>
  <c r="Q42" i="7"/>
  <c r="P43" i="7" s="1"/>
  <c r="T56" i="14"/>
  <c r="U56" i="14" s="1"/>
  <c r="I47" i="14"/>
  <c r="J47" i="14" s="1"/>
  <c r="N46" i="4"/>
  <c r="G32" i="16"/>
  <c r="H32" i="16"/>
  <c r="G33" i="15"/>
  <c r="Q54" i="20" l="1"/>
  <c r="P55" i="20" s="1"/>
  <c r="G45" i="20"/>
  <c r="H45" i="20" s="1"/>
  <c r="G38" i="17"/>
  <c r="H38" i="17" s="1"/>
  <c r="Q43" i="7"/>
  <c r="P44" i="7" s="1"/>
  <c r="G35" i="7"/>
  <c r="H35" i="7"/>
  <c r="T57" i="14"/>
  <c r="U57" i="14" s="1"/>
  <c r="T58" i="14" s="1"/>
  <c r="I48" i="14"/>
  <c r="J48" i="14" s="1"/>
  <c r="M47" i="4"/>
  <c r="N47" i="4" s="1"/>
  <c r="G33" i="16"/>
  <c r="H33" i="16"/>
  <c r="Q36" i="15"/>
  <c r="Q35" i="15" s="1"/>
  <c r="H33" i="15"/>
  <c r="G34" i="15" s="1"/>
  <c r="G46" i="20" l="1"/>
  <c r="H46" i="20" s="1"/>
  <c r="Q55" i="20"/>
  <c r="P56" i="20" s="1"/>
  <c r="Z48" i="20" s="1"/>
  <c r="Z47" i="20" s="1"/>
  <c r="G39" i="17"/>
  <c r="H39" i="17" s="1"/>
  <c r="G36" i="7"/>
  <c r="H36" i="7"/>
  <c r="Q44" i="7"/>
  <c r="P45" i="7" s="1"/>
  <c r="T59" i="14"/>
  <c r="I49" i="14"/>
  <c r="J49" i="14" s="1"/>
  <c r="M48" i="4"/>
  <c r="N48" i="4"/>
  <c r="G34" i="16"/>
  <c r="H34" i="16"/>
  <c r="H34" i="15"/>
  <c r="P57" i="20" l="1"/>
  <c r="G47" i="20"/>
  <c r="H47" i="20" s="1"/>
  <c r="G40" i="17"/>
  <c r="H40" i="17" s="1"/>
  <c r="Q45" i="7"/>
  <c r="P46" i="7" s="1"/>
  <c r="G37" i="7"/>
  <c r="H37" i="7" s="1"/>
  <c r="U58" i="14"/>
  <c r="I50" i="14"/>
  <c r="J50" i="14" s="1"/>
  <c r="M49" i="4"/>
  <c r="N49" i="4" s="1"/>
  <c r="G35" i="16"/>
  <c r="G35" i="15"/>
  <c r="Q56" i="20" l="1"/>
  <c r="G48" i="20"/>
  <c r="H48" i="20" s="1"/>
  <c r="G41" i="17"/>
  <c r="H41" i="17" s="1"/>
  <c r="G38" i="7"/>
  <c r="H38" i="7" s="1"/>
  <c r="Q46" i="7"/>
  <c r="P47" i="7" s="1"/>
  <c r="I51" i="14"/>
  <c r="J51" i="14" s="1"/>
  <c r="M50" i="4"/>
  <c r="N50" i="4"/>
  <c r="AD39" i="4"/>
  <c r="AD40" i="4" s="1"/>
  <c r="AK39" i="4"/>
  <c r="AK38" i="4" s="1"/>
  <c r="H35" i="16"/>
  <c r="H35" i="15"/>
  <c r="G36" i="15" s="1"/>
  <c r="H36" i="15" s="1"/>
  <c r="G49" i="20" l="1"/>
  <c r="H49" i="20" s="1"/>
  <c r="G42" i="17"/>
  <c r="H42" i="17" s="1"/>
  <c r="Z41" i="7"/>
  <c r="Z40" i="7" s="1"/>
  <c r="Q47" i="7"/>
  <c r="P48" i="7" s="1"/>
  <c r="G39" i="7"/>
  <c r="H39" i="7" s="1"/>
  <c r="I52" i="14"/>
  <c r="J52" i="14" s="1"/>
  <c r="M51" i="4"/>
  <c r="N51" i="4"/>
  <c r="G36" i="16"/>
  <c r="H36" i="16"/>
  <c r="G37" i="15"/>
  <c r="H37" i="15"/>
  <c r="G50" i="20" l="1"/>
  <c r="H50" i="20" s="1"/>
  <c r="G43" i="17"/>
  <c r="H43" i="17" s="1"/>
  <c r="G40" i="7"/>
  <c r="H40" i="7"/>
  <c r="I53" i="14"/>
  <c r="J53" i="14" s="1"/>
  <c r="M52" i="4"/>
  <c r="G37" i="16"/>
  <c r="H37" i="16"/>
  <c r="G38" i="15"/>
  <c r="H38" i="15" s="1"/>
  <c r="G51" i="20" l="1"/>
  <c r="H51" i="20" s="1"/>
  <c r="G44" i="17"/>
  <c r="H44" i="17" s="1"/>
  <c r="Q48" i="7"/>
  <c r="P49" i="7" s="1"/>
  <c r="G41" i="7"/>
  <c r="H41" i="7" s="1"/>
  <c r="I54" i="14"/>
  <c r="J54" i="14" s="1"/>
  <c r="N52" i="4"/>
  <c r="G38" i="16"/>
  <c r="H38" i="16"/>
  <c r="G39" i="15"/>
  <c r="H39" i="15" s="1"/>
  <c r="G52" i="20" l="1"/>
  <c r="H52" i="20" s="1"/>
  <c r="G45" i="17"/>
  <c r="H45" i="17" s="1"/>
  <c r="G42" i="7"/>
  <c r="H42" i="7"/>
  <c r="Q49" i="7"/>
  <c r="P50" i="7" s="1"/>
  <c r="I55" i="14"/>
  <c r="J55" i="14" s="1"/>
  <c r="M53" i="4"/>
  <c r="N53" i="4"/>
  <c r="G39" i="16"/>
  <c r="H39" i="16"/>
  <c r="G40" i="15"/>
  <c r="H40" i="15" s="1"/>
  <c r="G53" i="20" l="1"/>
  <c r="H53" i="20" s="1"/>
  <c r="G46" i="17"/>
  <c r="H46" i="17" s="1"/>
  <c r="Q50" i="7"/>
  <c r="P51" i="7" s="1"/>
  <c r="G43" i="7"/>
  <c r="H43" i="7" s="1"/>
  <c r="I56" i="14"/>
  <c r="J56" i="14" s="1"/>
  <c r="M54" i="4"/>
  <c r="N54" i="4"/>
  <c r="G40" i="16"/>
  <c r="H40" i="16" s="1"/>
  <c r="G41" i="15"/>
  <c r="H41" i="15" s="1"/>
  <c r="G54" i="20" l="1"/>
  <c r="H54" i="20" s="1"/>
  <c r="G47" i="17"/>
  <c r="H47" i="17" s="1"/>
  <c r="G44" i="7"/>
  <c r="H44" i="7"/>
  <c r="Q51" i="7"/>
  <c r="P52" i="7" s="1"/>
  <c r="I57" i="14"/>
  <c r="J57" i="14" s="1"/>
  <c r="M55" i="4"/>
  <c r="N55" i="4"/>
  <c r="G41" i="16"/>
  <c r="H41" i="16"/>
  <c r="G42" i="15"/>
  <c r="H42" i="15" s="1"/>
  <c r="G55" i="20" l="1"/>
  <c r="H55" i="20" s="1"/>
  <c r="G48" i="17"/>
  <c r="H48" i="17" s="1"/>
  <c r="Q52" i="7"/>
  <c r="P53" i="7" s="1"/>
  <c r="G45" i="7"/>
  <c r="H45" i="7" s="1"/>
  <c r="I58" i="14"/>
  <c r="I59" i="14" s="1"/>
  <c r="M56" i="4"/>
  <c r="N56" i="4"/>
  <c r="G42" i="16"/>
  <c r="H42" i="16"/>
  <c r="G43" i="15"/>
  <c r="H43" i="15" s="1"/>
  <c r="G56" i="20" l="1"/>
  <c r="G57" i="20" s="1"/>
  <c r="G49" i="17"/>
  <c r="S50" i="17"/>
  <c r="S49" i="17" s="1"/>
  <c r="G46" i="7"/>
  <c r="H46" i="7" s="1"/>
  <c r="Q53" i="7"/>
  <c r="P54" i="7" s="1"/>
  <c r="J58" i="14"/>
  <c r="M57" i="4"/>
  <c r="N57" i="4"/>
  <c r="G43" i="16"/>
  <c r="H43" i="16"/>
  <c r="G44" i="15"/>
  <c r="H44" i="15" s="1"/>
  <c r="H56" i="20" l="1"/>
  <c r="Q54" i="7"/>
  <c r="P55" i="7" s="1"/>
  <c r="G47" i="7"/>
  <c r="G48" i="7" s="1"/>
  <c r="H47" i="7"/>
  <c r="M58" i="4"/>
  <c r="N58" i="4"/>
  <c r="G44" i="16"/>
  <c r="H44" i="16" s="1"/>
  <c r="G45" i="15"/>
  <c r="Q45" i="15" s="1"/>
  <c r="Q55" i="7" l="1"/>
  <c r="P56" i="7" s="1"/>
  <c r="M59" i="4"/>
  <c r="N59" i="4"/>
  <c r="H45" i="15"/>
  <c r="G45" i="16"/>
  <c r="H45" i="16" s="1"/>
  <c r="G46" i="16" s="1"/>
  <c r="G46" i="15"/>
  <c r="Q44" i="15"/>
  <c r="Q56" i="7" l="1"/>
  <c r="P57" i="7" s="1"/>
  <c r="M60" i="4"/>
  <c r="N60" i="4"/>
  <c r="H46" i="16"/>
  <c r="Q57" i="7" l="1"/>
  <c r="P58" i="7" s="1"/>
  <c r="M61" i="4"/>
  <c r="N61" i="4"/>
  <c r="G47" i="16"/>
  <c r="Q58" i="7" l="1"/>
  <c r="P59" i="7" s="1"/>
  <c r="M62" i="4"/>
  <c r="AK51" i="4"/>
  <c r="AK50" i="4" s="1"/>
  <c r="AD51" i="4"/>
  <c r="AD52" i="4" s="1"/>
  <c r="AB59" i="14"/>
  <c r="AE47" i="14" s="1"/>
  <c r="Q59" i="7" l="1"/>
  <c r="AF44" i="14"/>
  <c r="P60" i="7" l="1"/>
  <c r="Z50" i="7"/>
  <c r="Z49" i="7" s="1"/>
  <c r="AF47" i="14"/>
  <c r="AO44" i="14"/>
  <c r="AO43" i="14" s="1"/>
  <c r="AE48" i="14" l="1"/>
  <c r="AF48" i="14"/>
  <c r="AE49" i="14" l="1"/>
  <c r="AF49" i="14" s="1"/>
  <c r="AE50" i="14" l="1"/>
  <c r="AF50" i="14" s="1"/>
  <c r="AE51" i="14" l="1"/>
  <c r="AF51" i="14" s="1"/>
  <c r="AE52" i="14" l="1"/>
  <c r="AF52" i="14"/>
  <c r="AE53" i="14" l="1"/>
  <c r="AF53" i="14" s="1"/>
  <c r="AE54" i="14" l="1"/>
  <c r="AF54" i="14" l="1"/>
  <c r="AE55" i="14" l="1"/>
  <c r="AF55" i="14" s="1"/>
  <c r="AE56" i="14" l="1"/>
  <c r="AF56" i="14" s="1"/>
  <c r="AE57" i="14" l="1"/>
  <c r="AF57" i="14" s="1"/>
  <c r="AE58" i="14" l="1"/>
  <c r="AO52" i="14" l="1"/>
  <c r="AO51" i="14"/>
  <c r="AO53" i="14" s="1"/>
  <c r="AE59" i="14"/>
  <c r="AF58" i="14"/>
</calcChain>
</file>

<file path=xl/comments1.xml><?xml version="1.0" encoding="utf-8"?>
<comments xmlns="http://schemas.openxmlformats.org/spreadsheetml/2006/main">
  <authors>
    <author>Tkalcevic, Rob</author>
  </authors>
  <commentList>
    <comment ref="S19" authorId="0" shapeId="0">
      <text>
        <r>
          <rPr>
            <b/>
            <sz val="9"/>
            <color indexed="81"/>
            <rFont val="Tahoma"/>
            <family val="2"/>
          </rPr>
          <t>Tkalcevic, Rob:</t>
        </r>
        <r>
          <rPr>
            <sz val="9"/>
            <color indexed="81"/>
            <rFont val="Tahoma"/>
            <family val="2"/>
          </rPr>
          <t xml:space="preserve">
Please note cash flow modification will be required in CBMS to manually reassign cash flow to 6212098 Other Operating Payments</t>
        </r>
      </text>
    </comment>
    <comment ref="S23" authorId="0" shapeId="0">
      <text>
        <r>
          <rPr>
            <b/>
            <sz val="9"/>
            <color indexed="81"/>
            <rFont val="Tahoma"/>
            <family val="2"/>
          </rPr>
          <t>Tkalcevic, Rob:</t>
        </r>
        <r>
          <rPr>
            <sz val="9"/>
            <color indexed="81"/>
            <rFont val="Tahoma"/>
            <family val="2"/>
          </rPr>
          <t xml:space="preserve">
Please note cash flow modification will be required in CBMS to manually reassign cash flow to 6212003 Payments to Suppliers</t>
        </r>
      </text>
    </comment>
  </commentList>
</comments>
</file>

<file path=xl/comments2.xml><?xml version="1.0" encoding="utf-8"?>
<comments xmlns="http://schemas.openxmlformats.org/spreadsheetml/2006/main">
  <authors>
    <author>Tkalcevic, Rob</author>
  </authors>
  <commentList>
    <comment ref="S28" authorId="0" shapeId="0">
      <text>
        <r>
          <rPr>
            <b/>
            <sz val="9"/>
            <color indexed="81"/>
            <rFont val="Tahoma"/>
            <family val="2"/>
          </rPr>
          <t>Tkalcevic, Rob:</t>
        </r>
        <r>
          <rPr>
            <sz val="9"/>
            <color indexed="81"/>
            <rFont val="Tahoma"/>
            <family val="2"/>
          </rPr>
          <t xml:space="preserve">
Account 2230009 for Loss on Finance Sublease</t>
        </r>
      </text>
    </comment>
  </commentList>
</comments>
</file>

<file path=xl/comments3.xml><?xml version="1.0" encoding="utf-8"?>
<comments xmlns="http://schemas.openxmlformats.org/spreadsheetml/2006/main">
  <authors>
    <author>Forner, Dario</author>
  </authors>
  <commentList>
    <comment ref="T16" authorId="0" shapeId="0">
      <text>
        <r>
          <rPr>
            <b/>
            <sz val="9"/>
            <color indexed="81"/>
            <rFont val="Tahoma"/>
            <family val="2"/>
          </rPr>
          <t>Forner, Dario:</t>
        </r>
        <r>
          <rPr>
            <sz val="9"/>
            <color indexed="81"/>
            <rFont val="Tahoma"/>
            <family val="2"/>
          </rPr>
          <t xml:space="preserve">
don’t eliminate bank as bank is bank</t>
        </r>
      </text>
    </comment>
    <comment ref="G22" authorId="0" shapeId="0">
      <text>
        <r>
          <rPr>
            <b/>
            <sz val="9"/>
            <color indexed="81"/>
            <rFont val="Tahoma"/>
            <family val="2"/>
          </rPr>
          <t>Forner, Dario:</t>
        </r>
        <r>
          <rPr>
            <sz val="9"/>
            <color indexed="81"/>
            <rFont val="Tahoma"/>
            <family val="2"/>
          </rPr>
          <t xml:space="preserve">
except bank
</t>
        </r>
      </text>
    </comment>
  </commentList>
</comments>
</file>

<file path=xl/comments4.xml><?xml version="1.0" encoding="utf-8"?>
<comments xmlns="http://schemas.openxmlformats.org/spreadsheetml/2006/main">
  <authors>
    <author>Tkalcevic, Rob</author>
  </authors>
  <commentList>
    <comment ref="Q20" authorId="0" shapeId="0">
      <text>
        <r>
          <rPr>
            <b/>
            <sz val="9"/>
            <color indexed="81"/>
            <rFont val="Tahoma"/>
            <charset val="1"/>
          </rPr>
          <t>Tkalcevic, Rob:</t>
        </r>
        <r>
          <rPr>
            <sz val="9"/>
            <color indexed="81"/>
            <rFont val="Tahoma"/>
            <charset val="1"/>
          </rPr>
          <t xml:space="preserve">
Remeasurement of the lease liability due to a change in variable lease payments should use the same IBR as applied on lease commencement. </t>
        </r>
      </text>
    </comment>
    <comment ref="Z32" authorId="0" shapeId="0">
      <text>
        <r>
          <rPr>
            <b/>
            <sz val="9"/>
            <color indexed="81"/>
            <rFont val="Tahoma"/>
            <charset val="1"/>
          </rPr>
          <t>Tkalcevic, Rob:</t>
        </r>
        <r>
          <rPr>
            <sz val="9"/>
            <color indexed="81"/>
            <rFont val="Tahoma"/>
            <charset val="1"/>
          </rPr>
          <t xml:space="preserve">
Remeasurement of the lease liability due to a change in variable lease payments should use the same IBR as applied on lease commencement. </t>
        </r>
      </text>
    </comment>
    <comment ref="AI44" authorId="0" shapeId="0">
      <text>
        <r>
          <rPr>
            <b/>
            <sz val="9"/>
            <color indexed="81"/>
            <rFont val="Tahoma"/>
            <charset val="1"/>
          </rPr>
          <t>Tkalcevic, Rob:</t>
        </r>
        <r>
          <rPr>
            <sz val="9"/>
            <color indexed="81"/>
            <rFont val="Tahoma"/>
            <charset val="1"/>
          </rPr>
          <t xml:space="preserve">
Remeasurement of the lease liability due to a change in variable lease payments should use the same IBR as applied on lease commencement. </t>
        </r>
      </text>
    </comment>
  </commentList>
</comments>
</file>

<file path=xl/comments5.xml><?xml version="1.0" encoding="utf-8"?>
<comments xmlns="http://schemas.openxmlformats.org/spreadsheetml/2006/main">
  <authors>
    <author>Tkalcevic, Rob</author>
  </authors>
  <commentList>
    <comment ref="Q32" authorId="0" shapeId="0">
      <text>
        <r>
          <rPr>
            <b/>
            <sz val="9"/>
            <color indexed="81"/>
            <rFont val="Tahoma"/>
            <charset val="1"/>
          </rPr>
          <t>Tkalcevic, Rob:</t>
        </r>
        <r>
          <rPr>
            <sz val="9"/>
            <color indexed="81"/>
            <rFont val="Tahoma"/>
            <charset val="1"/>
          </rPr>
          <t xml:space="preserve">
Remeasurement of the lease liability due to a change in variable lease payments should use the same IBR as applied on lease commencement. </t>
        </r>
      </text>
    </comment>
  </commentList>
</comments>
</file>

<file path=xl/comments6.xml><?xml version="1.0" encoding="utf-8"?>
<comments xmlns="http://schemas.openxmlformats.org/spreadsheetml/2006/main">
  <authors>
    <author>Tkalcevic, Rob</author>
  </authors>
  <commentList>
    <comment ref="P11" authorId="0" shapeId="0">
      <text>
        <r>
          <rPr>
            <b/>
            <sz val="9"/>
            <color indexed="81"/>
            <rFont val="Tahoma"/>
            <family val="2"/>
          </rPr>
          <t>Tkalcevic, Rob:</t>
        </r>
        <r>
          <rPr>
            <sz val="9"/>
            <color indexed="81"/>
            <rFont val="Tahoma"/>
            <family val="2"/>
          </rPr>
          <t xml:space="preserve">
GL Account 5351003 Total Finished Goods for inventory sales</t>
        </r>
      </text>
    </comment>
    <comment ref="P14" authorId="0" shapeId="0">
      <text>
        <r>
          <rPr>
            <b/>
            <sz val="9"/>
            <color indexed="81"/>
            <rFont val="Tahoma"/>
            <family val="2"/>
          </rPr>
          <t>Tkalcevic, Rob:</t>
        </r>
        <r>
          <rPr>
            <sz val="9"/>
            <color indexed="81"/>
            <rFont val="Tahoma"/>
            <family val="2"/>
          </rPr>
          <t xml:space="preserve">
GL Account 2230098 Supply of Goods &amp; Services Other Expense for inventory sales</t>
        </r>
      </text>
    </comment>
    <comment ref="P15" authorId="0" shapeId="0">
      <text>
        <r>
          <rPr>
            <b/>
            <sz val="9"/>
            <color indexed="81"/>
            <rFont val="Tahoma"/>
            <family val="2"/>
          </rPr>
          <t>Tkalcevic, Rob:</t>
        </r>
        <r>
          <rPr>
            <sz val="9"/>
            <color indexed="81"/>
            <rFont val="Tahoma"/>
            <family val="2"/>
          </rPr>
          <t xml:space="preserve">
GL Account 1220002 Sale of Goods &amp; Services Other Revenue for inventory sales</t>
        </r>
      </text>
    </comment>
  </commentList>
</comments>
</file>

<file path=xl/comments7.xml><?xml version="1.0" encoding="utf-8"?>
<comments xmlns="http://schemas.openxmlformats.org/spreadsheetml/2006/main">
  <authors>
    <author>Tkalcevic, Rob</author>
  </authors>
  <commentList>
    <comment ref="M28" authorId="0" shapeId="0">
      <text>
        <r>
          <rPr>
            <b/>
            <sz val="9"/>
            <color indexed="81"/>
            <rFont val="Tahoma"/>
            <family val="2"/>
          </rPr>
          <t>Tkalcevic, Rob:</t>
        </r>
        <r>
          <rPr>
            <sz val="9"/>
            <color indexed="81"/>
            <rFont val="Tahoma"/>
            <family val="2"/>
          </rPr>
          <t xml:space="preserve">
1220015 Gain on Lease Disposal where gain is applicable</t>
        </r>
      </text>
    </comment>
  </commentList>
</comments>
</file>

<file path=xl/sharedStrings.xml><?xml version="1.0" encoding="utf-8"?>
<sst xmlns="http://schemas.openxmlformats.org/spreadsheetml/2006/main" count="2026" uniqueCount="445">
  <si>
    <t>Dr</t>
  </si>
  <si>
    <t>Cr</t>
  </si>
  <si>
    <t>Account name</t>
  </si>
  <si>
    <t>$</t>
  </si>
  <si>
    <t>Dr/Cr</t>
  </si>
  <si>
    <t>ROU asset</t>
  </si>
  <si>
    <t>ROU Lease Liability</t>
  </si>
  <si>
    <t>intitial recognition of the ROU asset and Liability</t>
  </si>
  <si>
    <t>ROU Depreciation Exp</t>
  </si>
  <si>
    <t>ROU- Accum Depreciation</t>
  </si>
  <si>
    <t>CR</t>
  </si>
  <si>
    <t>Depreciate the asset in year one</t>
  </si>
  <si>
    <t>ROU - Interest Expense</t>
  </si>
  <si>
    <t>ROU- Lease laibility</t>
  </si>
  <si>
    <t>Bank</t>
  </si>
  <si>
    <t>Annual lease expense</t>
  </si>
  <si>
    <t>ROU - Interest paid</t>
  </si>
  <si>
    <t>ROU - Principle Lease payment</t>
  </si>
  <si>
    <t>Cashflow accounts to show payment of annual lease</t>
  </si>
  <si>
    <t>Sublease income receipt</t>
  </si>
  <si>
    <t>Income received from Subleasee (related entity)</t>
  </si>
  <si>
    <t>Cashflow receipt from sublease income</t>
  </si>
  <si>
    <t>Annual lease expense to Sublease lessor</t>
  </si>
  <si>
    <t>Total financial statements</t>
  </si>
  <si>
    <t>Elimination entries</t>
  </si>
  <si>
    <t xml:space="preserve">Sublease Income </t>
  </si>
  <si>
    <t>Lessee - (leases 1 floor from Sublease Lessor)</t>
  </si>
  <si>
    <t>Sub lease Lessor (Total Building lease)</t>
  </si>
  <si>
    <t>Notes</t>
  </si>
  <si>
    <t xml:space="preserve">How do you eliminate the ROU asset , lease liability </t>
  </si>
  <si>
    <t>Finance Lease Receivable</t>
  </si>
  <si>
    <t>Cash</t>
  </si>
  <si>
    <t>2019-20</t>
  </si>
  <si>
    <t>AASB 16 Requirements  - Sub Leases</t>
  </si>
  <si>
    <t xml:space="preserve">Recognition and measurement </t>
  </si>
  <si>
    <t xml:space="preserve">67 At the commencement date, a lessor shall recognise assets held under a finance lease in its statement of financial position and present them as a receivable at an amount equal to the net investment in the lease. </t>
  </si>
  <si>
    <t xml:space="preserve">Subsequent measurement </t>
  </si>
  <si>
    <t xml:space="preserve">75 A lessor shall recognise finance income over the lease term, based on a pattern reflecting a constant periodic rate of return on the lessor’s net investment in the lease. </t>
  </si>
  <si>
    <t>76 A lessor aims to allocate finance income over the lease term on a systematic and rational basis. A lessor shall apply the lease payments relating to the period against the gross investment in the lease to reduce both the principal and the unearned finance income.</t>
  </si>
  <si>
    <t>Finance Leases</t>
  </si>
  <si>
    <t xml:space="preserve">81 A lessor shall recognise lease payments from operating leases as income on either a straight-line basis or another systematic basis. The lessor shall apply another systematic basis if that basis is more representative of the pattern in which benefit from the use of the underlying asset is diminished. </t>
  </si>
  <si>
    <t>Operating Leases</t>
  </si>
  <si>
    <t xml:space="preserve">net investment in the lease The gross investment in the lease discounted at the interest rate implicit in the lease. </t>
  </si>
  <si>
    <t xml:space="preserve">gross investment in the lease </t>
  </si>
  <si>
    <t>The sum of:</t>
  </si>
  <si>
    <t xml:space="preserve"> (a) the lease payments receivable by a lessor under a finance lease; and</t>
  </si>
  <si>
    <t xml:space="preserve"> (b) any unguaranteed residual value accruing to the lessor. </t>
  </si>
  <si>
    <t>53 A lessee shall disclose the following amounts for the reporting period:</t>
  </si>
  <si>
    <t xml:space="preserve"> (a) depreciation charge for right-of-use assets by class of underlying asset; </t>
  </si>
  <si>
    <t xml:space="preserve">(b) interest expense on lease liabilities; </t>
  </si>
  <si>
    <t xml:space="preserve">(c) the expense relating to short-term leases accounted for applying paragraph 6. This expense need not include the expense relating to leases with a lease term of one month or less; </t>
  </si>
  <si>
    <t>(d) the expense relating to leases of low-value assets accounted for applying paragraph 6. This expense shall not include the expense relating to short-term leases of low-value assets included in paragraph 53(c);</t>
  </si>
  <si>
    <t xml:space="preserve"> (e) the expense relating to variable lease payments not included in the measurement of lease liabilities;</t>
  </si>
  <si>
    <t xml:space="preserve"> (f) income from subleasing right-of-use assets; </t>
  </si>
  <si>
    <t>(g) total cash outflow for leases;</t>
  </si>
  <si>
    <t xml:space="preserve"> (h) additions to right-of-use assets;</t>
  </si>
  <si>
    <t xml:space="preserve"> (i) gains or losses arising from sale and leaseback transactions; and</t>
  </si>
  <si>
    <t xml:space="preserve"> (j) the carrying amount of right-of-use assets at the end of the reporting period by class of underlying asset.</t>
  </si>
  <si>
    <t xml:space="preserve">Sublease classification </t>
  </si>
  <si>
    <t xml:space="preserve">B58 In classifying a sublease, an intermediate lessor shall classify the sublease as a finance lease or an operating lease as follows: </t>
  </si>
  <si>
    <t xml:space="preserve">(a) if the head lease is a short-term lease that the entity, as a lessee, has accounted for applying paragraph 6, the sublease shall be classified as an operating lease. </t>
  </si>
  <si>
    <t xml:space="preserve">(b) otherwise, the sublease shall be classified by reference to the right-of-use asset arising from the head lease, rather than by reference to the underlying asset (for example, the item of property, plant or equipment that is the subject of the lease). </t>
  </si>
  <si>
    <t xml:space="preserve">C15 An intermediate lessor shall: </t>
  </si>
  <si>
    <t xml:space="preserve">(a) reassess subleases that were classified as operating leases applying AASB 117 and are ongoing at the date of initial application, to determine whether each sublease should be classified as an operating lease or a finance lease applying this Standard. The intermediate lessor shall perform this assessment at the date of initial application on the basis of the remaining contractual terms and conditions of the head lease and sublease at that date. </t>
  </si>
  <si>
    <t xml:space="preserve">(b) for subleases that were classified as operating leases applying AASB 117 but finance leases applying this Standard, account for the sublease as a new finance lease entered into at the date of initial application. </t>
  </si>
  <si>
    <t>IFRS 16 Leases - Illustrative Examples</t>
  </si>
  <si>
    <t xml:space="preserve">Subleases (paragraph B58) </t>
  </si>
  <si>
    <t>IE8</t>
  </si>
  <si>
    <t xml:space="preserve"> Examples 20–21 illustrate the application of the requirements in IFRS 16 for an intermediate lessor that enters into a head lease and a sublease of the same underlying asset. </t>
  </si>
  <si>
    <t xml:space="preserve">Example 20—Sublease classified as a finance lease </t>
  </si>
  <si>
    <t xml:space="preserve">Head lease—An intermediate lessor enters into a five-year lease for 5,000 square metres of office space (the head lease) with Entity A (the head lessor). </t>
  </si>
  <si>
    <t xml:space="preserve">Sublease—At the beginning of Year 3, the intermediate lessor subleases the 5,000 square metres of office space for the remaining three years of the head lease to a sublessee. </t>
  </si>
  <si>
    <t xml:space="preserve">The intermediate lessor classifies the sublease by reference to the right-of-use asset arising from the head lease. The intermediate lessor classifies the sublease as a finance lease, having considered the requirements in paragraphs 61–66 of IFRS 16. </t>
  </si>
  <si>
    <t>When the intermediate lessor enters into the sublease, the intermediate lessor:</t>
  </si>
  <si>
    <t xml:space="preserve"> (a) derecognises the right-of-use asset relating to the head lease that it transfers to the sublessee and recognises the net investment in the sublease; </t>
  </si>
  <si>
    <t xml:space="preserve">During the term of the sublease, the intermediate lessor recognises both finance income on the sublease and interest expense on the head lease. </t>
  </si>
  <si>
    <t xml:space="preserve">(b) recognises any difference between the right-of-use asset and the net investment in the sublease in profit or loss; and </t>
  </si>
  <si>
    <t xml:space="preserve">(c) retains the lease liability relating to the head lease in its statement of financial position, which represents the lease payments owed to the head lessor. </t>
  </si>
  <si>
    <t xml:space="preserve">Example 21—Sublease classified as an operating lease </t>
  </si>
  <si>
    <t xml:space="preserve">Sublease—At commencement of the head lease, the intermediate lessor subleases the 5,000 square metres of office space for two years to a sublessee. </t>
  </si>
  <si>
    <t xml:space="preserve">The intermediate lessor classifies the sublease by reference to the right-of-use asset arising from the head lease. </t>
  </si>
  <si>
    <t xml:space="preserve">The intermediate lessor classifies the sublease as an operating lease, having considered the requirements in paragraphs 61–66 of IFRS 16. </t>
  </si>
  <si>
    <t xml:space="preserve">When the intermediate lessor enters into the sublease, the intermediate lessor retains the lease liability and the right-of-use asset relating to the head lease in its statement of financial position. </t>
  </si>
  <si>
    <t xml:space="preserve">During the term of the sublease, the intermediate lessor: </t>
  </si>
  <si>
    <t xml:space="preserve">(a) recognises a depreciation charge for the right-of-use asset and interest on the lease liability; and </t>
  </si>
  <si>
    <t xml:space="preserve">(b) recognises lease income from the sublease. </t>
  </si>
  <si>
    <t>Head Lease</t>
  </si>
  <si>
    <t>Under the head lease:</t>
  </si>
  <si>
    <t>Sublease</t>
  </si>
  <si>
    <t>Under the sublease:</t>
  </si>
  <si>
    <t>Commencement date is 1 July 2019</t>
  </si>
  <si>
    <t>Annual fixed lease payment is $55,000, payable at the beginning of the year</t>
  </si>
  <si>
    <t>Monthly Payment</t>
  </si>
  <si>
    <t>PV Monthly Payment</t>
  </si>
  <si>
    <t>Finance Lease Liability</t>
  </si>
  <si>
    <t>Interest Expense</t>
  </si>
  <si>
    <t>ROU Asset</t>
  </si>
  <si>
    <t xml:space="preserve">Depreciation </t>
  </si>
  <si>
    <t>Month</t>
  </si>
  <si>
    <t>Period</t>
  </si>
  <si>
    <t>Monthly Receipt</t>
  </si>
  <si>
    <t>PV Monthly Receipt</t>
  </si>
  <si>
    <t>Interest Revenue</t>
  </si>
  <si>
    <t>Sub Lease</t>
  </si>
  <si>
    <t>Lease Liability</t>
  </si>
  <si>
    <t>Accumulated Amortisation ROU Asset</t>
  </si>
  <si>
    <t>2020-21</t>
  </si>
  <si>
    <t>2021-22</t>
  </si>
  <si>
    <t>2022-23</t>
  </si>
  <si>
    <t>(a)</t>
  </si>
  <si>
    <t>(b)</t>
  </si>
  <si>
    <t>(c)</t>
  </si>
  <si>
    <t>(d)</t>
  </si>
  <si>
    <t>(e )</t>
  </si>
  <si>
    <t>(f)</t>
  </si>
  <si>
    <t>Recognition of Sub Lease accounted for as Finance Lease</t>
  </si>
  <si>
    <t>(g)</t>
  </si>
  <si>
    <t>Recognition of lease repayment 2019-20</t>
  </si>
  <si>
    <t>(h)</t>
  </si>
  <si>
    <t>Recognition of lease repayment 2020-21</t>
  </si>
  <si>
    <t>(i)</t>
  </si>
  <si>
    <t>Recognition of lease repayment 2021-22</t>
  </si>
  <si>
    <t>(j)</t>
  </si>
  <si>
    <t>Recognition of lease repayment 2022-23</t>
  </si>
  <si>
    <t>Recognition of amortisation of finance lease asset in 2019-20</t>
  </si>
  <si>
    <t>Recognition of amortisation of finance lease asset in 2020-21</t>
  </si>
  <si>
    <t>Department of Finance as Head Lease Lessee</t>
  </si>
  <si>
    <t>Department of Finance as Sub Lease Lessor</t>
  </si>
  <si>
    <t>Department of Human Services as Sub Lease Lessee</t>
  </si>
  <si>
    <t>Monthly Incremental Borrowing Rate (IBR)</t>
  </si>
  <si>
    <t>Recognition of Initial Finance Lease on transition date</t>
  </si>
  <si>
    <t>Recognition of lease repayment to head lessor 2019-20</t>
  </si>
  <si>
    <t>Recognition of lease repayment to head lessor 2020-21</t>
  </si>
  <si>
    <t>Recognition of lease repayment to head lessor 2021-22</t>
  </si>
  <si>
    <t>Recognition of lease repayment to head lessor 2022-23</t>
  </si>
  <si>
    <t xml:space="preserve">Recognition of Sub Lease </t>
  </si>
  <si>
    <t>ROU Asset derecognised is 1/2 of initial asset recognised (3 out of 6 years)</t>
  </si>
  <si>
    <t>No depreciation on ROU asset recognised for duration of sublease</t>
  </si>
  <si>
    <t xml:space="preserve"> (2019-20 to 2021-22)</t>
  </si>
  <si>
    <t>Commencement date is 1 July 2021</t>
  </si>
  <si>
    <t>2023-24</t>
  </si>
  <si>
    <t>2024-25</t>
  </si>
  <si>
    <t>Lease Straightlining Provision (AASB 117)</t>
  </si>
  <si>
    <t>Assets held under finance leases - Amortisation</t>
  </si>
  <si>
    <t>Finance Charges for Finance Leases</t>
  </si>
  <si>
    <t>Operating lease incentives</t>
  </si>
  <si>
    <t>Buildings (ROU Asset)</t>
  </si>
  <si>
    <t>Recognition of amortisation of finance lease asset in 2022-23</t>
  </si>
  <si>
    <t>Recognition of lease repayment to head lessor 2023-24</t>
  </si>
  <si>
    <t>Recognition of amortisation of finance lease asset in 2024-25</t>
  </si>
  <si>
    <t>Recognition of lease repayment to head lessor 2024-25</t>
  </si>
  <si>
    <t xml:space="preserve"> RE</t>
  </si>
  <si>
    <t>RE</t>
  </si>
  <si>
    <t>Recognition of lease repayment 2023-24</t>
  </si>
  <si>
    <t>Recognition of amortisation of finance lease asset in 2023-24</t>
  </si>
  <si>
    <t>Recognition of amortisation of finance lease asset in 2011-22</t>
  </si>
  <si>
    <t>At the beginning of Year 3, Department of Finance subleases the 5,000 square metres of office space for three years to a sublessee, Department of Human Services.</t>
  </si>
  <si>
    <t>On 1 July 2021, the Department of Finance assesses the sublease as a finance lease given it is for 3 out of the 4 remaining years of the head lease ROU assets life and is for all the floorspace under the head lease.</t>
  </si>
  <si>
    <t>Department of Finance enters into a six-year lease with Entity A (the head lessor, an external entity) for 5,000 square metres of office space.</t>
  </si>
  <si>
    <t>Gain on Finance SubLease</t>
  </si>
  <si>
    <t>SubLease Interest Interest Finance Lease</t>
  </si>
  <si>
    <t>Interest on Right of Use Asset</t>
  </si>
  <si>
    <t>Investment in Sublease</t>
  </si>
  <si>
    <t>5311002 (7321)</t>
  </si>
  <si>
    <t>5311002 (7353)</t>
  </si>
  <si>
    <t>Original</t>
  </si>
  <si>
    <t>Inclusion of Extension Option</t>
  </si>
  <si>
    <t>Annual fixed lease payment is $150,000, payable at the beginning of the year</t>
  </si>
  <si>
    <t>Account</t>
  </si>
  <si>
    <t>Movement Account</t>
  </si>
  <si>
    <t>Account Description</t>
  </si>
  <si>
    <t>Amount</t>
  </si>
  <si>
    <t>Date</t>
  </si>
  <si>
    <t>Investment in SubLease</t>
  </si>
  <si>
    <t>Leases Consolidation entries - Operating sublease</t>
  </si>
  <si>
    <t>Consolidated Outcome</t>
  </si>
  <si>
    <t>Annual lease expense in leasee books</t>
  </si>
  <si>
    <t>All these transactions are RE in Lessee accounts</t>
  </si>
  <si>
    <t>Depreciation and accum depreciation of Lesee</t>
  </si>
  <si>
    <t xml:space="preserve">in CBMS - there is no RE in the sub lessors accounts. </t>
  </si>
  <si>
    <t>Implies a one sided elimination only.</t>
  </si>
  <si>
    <t xml:space="preserve">These amounts can be eliminated in CBMS as they </t>
  </si>
  <si>
    <t>are matched in CBMS between lessor and lessee</t>
  </si>
  <si>
    <t>Lease Details</t>
  </si>
  <si>
    <t>AASB 16 Lease Calculations</t>
  </si>
  <si>
    <t>Journals</t>
  </si>
  <si>
    <t>Recognition of initial lease balances on transition date</t>
  </si>
  <si>
    <t>Recognition of amortisation of ROU asset in 2019-20</t>
  </si>
  <si>
    <t>Recognition of amortisation of ROU asset in 2020-21</t>
  </si>
  <si>
    <t>Recognition of amortisation of ROU asset in 2024-25</t>
  </si>
  <si>
    <t>Recognition of amortisation of ROU asset in 2022-23</t>
  </si>
  <si>
    <t>Recognition of amortisation of ROU asset in 2023-24</t>
  </si>
  <si>
    <t>Recognition of initial Lease Liability and Right of Use (ROU) Asset on transition date</t>
  </si>
  <si>
    <t>Recognition of amortisation of ROU asset in 2021-22</t>
  </si>
  <si>
    <t>Recognition of initial Lease Liability and Right of Use (ROU) asset on transition date</t>
  </si>
  <si>
    <t>SubLease Income</t>
  </si>
  <si>
    <t>SubLease Interest Income Finance Lease</t>
  </si>
  <si>
    <t>At the start of each financial year the following parameter/market review adjustments are determined: 2020-21 (CPI) 2%, 2021-22 (Market Review) 1%, 2022-23 (CPI) 3%.</t>
  </si>
  <si>
    <t>Initial recognition of Lease Liability and ROU Asset.</t>
  </si>
  <si>
    <t>AASB 16 Lease Calculations - Lease Commencement</t>
  </si>
  <si>
    <t>(k)</t>
  </si>
  <si>
    <t>(l)</t>
  </si>
  <si>
    <t>(m)</t>
  </si>
  <si>
    <t>(n)</t>
  </si>
  <si>
    <t>(o)</t>
  </si>
  <si>
    <t>(e)</t>
  </si>
  <si>
    <t>Remeasurement of lease liability as extension option is now reasonable certain</t>
  </si>
  <si>
    <t xml:space="preserve">Lessees 
</t>
  </si>
  <si>
    <t>Key AASB 16 References</t>
  </si>
  <si>
    <r>
      <t xml:space="preserve">C8 If a lessee elects to apply this Standard in accordance with paragraph C5(b), the lessee shall: 
</t>
    </r>
    <r>
      <rPr>
        <b/>
        <sz val="11"/>
        <color theme="1"/>
        <rFont val="Calibri"/>
        <family val="2"/>
        <scheme val="minor"/>
      </rPr>
      <t xml:space="preserve">(a) recognise a lease liability at the date of initial application for leases previously classified as an operating lease applying AASB 117. The lessee shall measure that lease liability at the present value of the remaining lease payments, discounted using the lessee’s incremental borrowing rate at the date of initial application. </t>
    </r>
    <r>
      <rPr>
        <sz val="11"/>
        <color theme="1"/>
        <rFont val="Calibri"/>
        <family val="2"/>
        <scheme val="minor"/>
      </rPr>
      <t xml:space="preserve">
(b) recognise a right-of-use asset at the date of initial application for leases previously classified as an operating lease applying AASB 117. The lessee shall choose, on a lease-by-lease basis, to measure that right-of-use asset at either: 
(i) its carrying amount as if the Standard had been applied since the commencement date, but discounted using the lessee’s incremental borrowing rate at the date of initial application; or 
</t>
    </r>
    <r>
      <rPr>
        <b/>
        <sz val="11"/>
        <color theme="1"/>
        <rFont val="Calibri"/>
        <family val="2"/>
        <scheme val="minor"/>
      </rPr>
      <t>(ii) an amount equal to the lease liability, adjusted by the amount of any prepaid or accrued lease payments relating to that lease recognised in the statement of financial position immediately before the date of initial application.</t>
    </r>
    <r>
      <rPr>
        <sz val="11"/>
        <color theme="1"/>
        <rFont val="Calibri"/>
        <family val="2"/>
        <scheme val="minor"/>
      </rPr>
      <t xml:space="preserve">
(c) apply AASB 136 Impairment of Assets to right-of-use assets at the date of initial application, unless the lessee applies the practical expedient in paragraph C10(b). </t>
    </r>
  </si>
  <si>
    <t xml:space="preserve">42 A lessee shall remeasure the lease liability by discounting the revised lease payments, if either: 
(a) there is a change in the amounts expected to be payable under a residual value guarantee. A lessee shall determine the revised lease payments to reflect the change in amounts expected to be payable under the residual value guarantee. 
(b) there is a change in future lease payments resulting from a change in an index or a rate used to determine those payments, including for example a change to reflect changes in market rental rates following a market rent review. The lessee shall remeasure the lease liability to reflect those revised lease payments only when there is a change in the cash flows (ie when the adjustment to the lease payments takes effect). A lessee shall determine the revised lease payments for the remainder of the lease term based on the revised contractual payments. </t>
  </si>
  <si>
    <t xml:space="preserve">40 A lessee shall remeasure the lease liability by discounting the revised lease payments using a revised discount rate, if either: 
(a) there is a change in the lease term, as described in paragraphs 20–21. A lessee shall determine the revised lease payments on the basis of the revised lease term; or 
(b) there is a change in the assessment of an option to purchase the underlying asset, assessed considering the events and circumstances described in paragraphs 20–21 in the context of a purchase option. A lessee shall determine the revised lease payments to reflect the change in amounts payable under the purchase option. </t>
  </si>
  <si>
    <t xml:space="preserve">Reassessment of the lease liability </t>
  </si>
  <si>
    <t xml:space="preserve">39 After the commencement date, a lessee shall apply paragraphs 40–43 to remeasure the lease liability to reflect changes to the lease payments. A lessee shall recognise the amount of the remeasurement of the lease liability as an adjustment to the right-of-use asset. However, if the carrying amount of the right-of-use asset is reduced to zero and there is a further reduction in the measurement of the lease liability, a lessee shall recognise any remaining amount of the remeasurement in profit or loss. </t>
  </si>
  <si>
    <t>Other measurement models</t>
  </si>
  <si>
    <t xml:space="preserve">Classification of leases (paragraphs B53–B58) 
</t>
  </si>
  <si>
    <t xml:space="preserve">61 A lessor shall classify each of its leases as either an operating lease or a finance lease. </t>
  </si>
  <si>
    <t xml:space="preserve">62 A lease is classified as a finance lease if it transfers substantially all the risks and rewards incidental to ownership of an underlying asset. A lease is classified as an operating lease if it does not transfer substantially all the risks and rewards incidental to ownership of an underlying asset. </t>
  </si>
  <si>
    <t xml:space="preserve">Classification of leases (paragraphs B53–B58) </t>
  </si>
  <si>
    <t xml:space="preserve">
67 At the commencement date, a lessor shall recognise assets held under a finance lease in its statement of financial position and present them as a receivable at an amount equal to the net investment in the lease. </t>
  </si>
  <si>
    <t>75 A lessor shall recognise finance income over the lease term, based on a pattern reflecting a constant periodic rate of return on the lessor’s net investment in the lease.</t>
  </si>
  <si>
    <t xml:space="preserve">81 A lessor shall recognise lease payments from operating leases as income on either a straight-line basis or another systematic basis. The lessor shall apply another systematic basis if that basis is more representative of the pattern in which benefit from the use of the underlying asset is diminished. 82 A lessor shall recognise costs, including depreciation, incurred in earning the lease income as an expense. </t>
  </si>
  <si>
    <t xml:space="preserve">Operating leases - Recognition and measurement 
</t>
  </si>
  <si>
    <t>Key References</t>
  </si>
  <si>
    <t>AASB 16</t>
  </si>
  <si>
    <t>https://www.aasb.gov.au/admin/file/content105/c9/IFRS16_IE_01-16.pdf</t>
  </si>
  <si>
    <t>See also Example 14 in IFRS 16 Illustrative Examples</t>
  </si>
  <si>
    <t>See also Examples 13, 16 and 19 in IFRS 16 Illustrative Examples</t>
  </si>
  <si>
    <t>See also Example 20 in IFRS 16 Illustrative Examples</t>
  </si>
  <si>
    <t>See also Example 21 in IFRS 16 Illustrative Examples</t>
  </si>
  <si>
    <t xml:space="preserve">C7 If a lessee elects to apply this Standard in accordance with paragraph C5(b), the lessee shall not restate comparative information. Instead, the lessee shall recognise the cumulative effect of initially applying this Standard as an adjustment to the opening balance of retained earnings (or other component of equity, as appropriate) at the date of initial application. </t>
  </si>
  <si>
    <t>Remeasurement of Lease Liability and ROU Asset after 2021-22 market review.</t>
  </si>
  <si>
    <t>Remeasurement of Lease Liability and ROU Asset after 2020-21 CPI increase.</t>
  </si>
  <si>
    <t>Accounting for Lease Transition balances</t>
  </si>
  <si>
    <t>Accounting for Finance Sub Lease</t>
  </si>
  <si>
    <t>Accounting for Operating Sub Lease</t>
  </si>
  <si>
    <t>Accounting for Lease Extension Option and Revaluation</t>
  </si>
  <si>
    <t>Accounting for Lease Market Review and Index Increases</t>
  </si>
  <si>
    <t>B58 if the head lease is a short-term lease  accounted for applying paragraph 6, the sublease must be classified as operating lease; otherwise it must be classisfied by reference to the ROU arising from the head lease, rather than by reference to the underlying asset.</t>
  </si>
  <si>
    <t>76 A lesssor must apply the lease payments relating to the period against the gross investment in the lease to reduce both the principal and the unearned finance income.</t>
  </si>
  <si>
    <r>
      <t xml:space="preserve">C5 A lessee shall apply this Standard to its leases either: 
(a) retrospectively to each prior reporting period presented applying AASB 108 Accounting Policies, Changes in Accounting Estimates and Errors; or 
</t>
    </r>
    <r>
      <rPr>
        <b/>
        <sz val="11"/>
        <color theme="1"/>
        <rFont val="Calibri"/>
        <family val="2"/>
        <scheme val="minor"/>
      </rPr>
      <t>(b) retrospectively with the cumulative effect of initially applying the Standard recognised at the date of initial application in accordance with paragraphs C7–C13 *.</t>
    </r>
  </si>
  <si>
    <t xml:space="preserve">AASB 16 </t>
  </si>
  <si>
    <t xml:space="preserve">35 If right-of-use assets relate to a class of property, plant and equipment to which the lessee applies the revaluation model in AASB 116, a lessee may elect to apply that revaluation model to all of the right-of-use assets that relate to that class of property, plant and equipment *. </t>
  </si>
  <si>
    <t>Other Provisions</t>
  </si>
  <si>
    <t xml:space="preserve">C10 A lessee may use one or more of the following practical expedients when applying this Standard retrospectively in accordance with paragraph C5(b) to leases previously classified as operating leases applying AASB 117. A lessee is permitted to apply these practical expedients on a lease-by-lease basis: </t>
  </si>
  <si>
    <t xml:space="preserve">(a) a lessee may apply a single discount rate to a portfolio of leases with reasonably similar characteristics (such as leases with a similar remaining lease term for a similar class of underlying asset in a similar economic environment). </t>
  </si>
  <si>
    <t xml:space="preserve">(b) a lessee may rely on its assessment of whether leases are onerous applying AASB 137 Provisions, Contingent Liabilities and Contingent Assets immediately before the date of initial application as an alternative to performing an impairment review. If a lessee chooses this practical expedient, the lessee shall adjust the right-of-use asset at the date of initial application by the amount of any provision for onerous leases recognised in the statement of financial position immediately before the date of initial application. </t>
  </si>
  <si>
    <t>Surplus Lease Provision (AASB 137)</t>
  </si>
  <si>
    <t>Department A as Head Lease Lessee</t>
  </si>
  <si>
    <t>Department A as Sub Lease Lessor</t>
  </si>
  <si>
    <t>Department B as Sub Lease Lessee</t>
  </si>
  <si>
    <t>Depreciation - Buildings</t>
  </si>
  <si>
    <t>Accounting for Lease Portfolio</t>
  </si>
  <si>
    <t>Car A</t>
  </si>
  <si>
    <t>Car B</t>
  </si>
  <si>
    <t>Car C</t>
  </si>
  <si>
    <t>Car D</t>
  </si>
  <si>
    <t>Total Monthly Payment</t>
  </si>
  <si>
    <t>Initial lease payments expensed prior to capitalisation as lease asset and liability</t>
  </si>
  <si>
    <t>Other Infrastructure, Plant &amp; Equipment (ROU Asset)</t>
  </si>
  <si>
    <t>©</t>
  </si>
  <si>
    <t>Agency X decides to group motor vehicles into a portfolio, based on year of lease commencement, on the basis that the difference to accounting for each motor vehicle lease individually is immaterial.</t>
  </si>
  <si>
    <t>See also Example 11 in IFRS 16 Illustrative Examples</t>
  </si>
  <si>
    <t xml:space="preserve">Appendix B Application guidance 
Portfolio application 
</t>
  </si>
  <si>
    <t xml:space="preserve">B1 This Standard specifies the accounting for an individual lease. However, as a practical expedient, an entity may apply this Standard to a portfolio of leases with similar characteristics if the entity reasonably expects that the effects on the financial statements of applying this Standard to the portfolio would not differ materially from applying this Standard to the individual leases within that portfolio. If accounting for a portfolio, an entity shall use estimates and assumptions that reflect the size and composition of the portfolio. </t>
  </si>
  <si>
    <t>A lease asset and liability is recognised at the beginning of each financial year for the motor vehicle leases that commenced in the previous financial year.</t>
  </si>
  <si>
    <t>Recognition of lease repayment and finance income in 2021-22</t>
  </si>
  <si>
    <t>Recognition of lease repayment and finance income in 2022-23</t>
  </si>
  <si>
    <t>Recognition of lease repayment and finance income in 2023-24</t>
  </si>
  <si>
    <t>Accumulated Results</t>
  </si>
  <si>
    <t>Lease liabilities - Adjustments</t>
  </si>
  <si>
    <t>Lease liabilities - Principal payments</t>
  </si>
  <si>
    <t xml:space="preserve">Outstanding Makegood Provison as at 30 June 2019 was $4500.  The carrying value of the corresponding makegood asset as at 30 June 2019 was $3,100. </t>
  </si>
  <si>
    <t>Lease Incentive Liability Rent Free Period (AASB 117)</t>
  </si>
  <si>
    <t>Lease Incentive Liability - Fitout Contribution (AASB 117)</t>
  </si>
  <si>
    <t>Makegood Provision</t>
  </si>
  <si>
    <t>Agency X enters into a 3 year lease for 5,000 square metres of office space.</t>
  </si>
  <si>
    <t>Remaining Lease Straightlining Provision at 30 June 2019 was $1,515.  Straightlining Provision recognised under AASB 117 for difference between lease payments and straightlined lease expense over lease term.</t>
  </si>
  <si>
    <t xml:space="preserve">Explanation </t>
  </si>
  <si>
    <t xml:space="preserve">Commencement date is 1 July 2018.  Annual fixed lease payment is $50,000, increasing by 3% per annum on 1 July, payable at the beginning of each month.  Incremental borrowing rate (IBR) assessed to be 3% per annum.  </t>
  </si>
  <si>
    <t>GST has been ignored in the illustrative journals for simplicity.</t>
  </si>
  <si>
    <t>No adjustment to makegood provision and makegood asset is required on transition date.</t>
  </si>
  <si>
    <t xml:space="preserve">Agency X enters into a 3 year lease for 5,000 square metres of office space.  Commencement date is 1 July 2019.  Annual fixed lease payment is $50,000, increasing by 3% per annum on 1 July, payable at the beginning of each month.  Incremental borrowing rate (IBR) assessed to be 3% per annum.  </t>
  </si>
  <si>
    <t>Fitout expenditure undertaken by lessee (to be reimbursed by lessor)</t>
  </si>
  <si>
    <t>Reimbursement of fitout expenditure from lessor</t>
  </si>
  <si>
    <t>Recognition of depreciation of fitout asset in 2019-20</t>
  </si>
  <si>
    <t>Fitout Incentive</t>
  </si>
  <si>
    <t>Recognition of surplus lease space</t>
  </si>
  <si>
    <t>Lease Makegood</t>
  </si>
  <si>
    <t>Recognition of initial makegood provision</t>
  </si>
  <si>
    <t>Recognition of interest expense on makegood provision in 2019-20</t>
  </si>
  <si>
    <t xml:space="preserve">Provision for Restoration, Decommissioning and Makegood </t>
  </si>
  <si>
    <t>Unwinding Discount on Restoration &amp; Decommissioning</t>
  </si>
  <si>
    <t>Buildings (Fitout Asset)</t>
  </si>
  <si>
    <t>Recognition of depreciation of fitout asset in 2020-21</t>
  </si>
  <si>
    <t>Recognition of interest expense on makegood provision in 2020-21</t>
  </si>
  <si>
    <t>Recognition of interest expense on makegood provision in 2021-22</t>
  </si>
  <si>
    <t xml:space="preserve">Initial measurement of the right-of-use asset 
</t>
  </si>
  <si>
    <t xml:space="preserve">23 At the commencement date, a lessee shall measure the right-of-use asset at cost. </t>
  </si>
  <si>
    <t xml:space="preserve">24 The cost of the right-of-use asset shall comprise: 
(a) the amount of the initial measurement of the lease liability, as described in paragraph 26; 
(b) any lease payments made at or before the commencement date, less any lease incentives received; 
(c) any initial direct costs incurred by the lessee; and 
(d) an estimate of costs to be incurred by the lessee in dismantling and removing the underlying asset, restoring the site on which it is located or restoring the underlying asset to the condition required by the terms and conditions of the lease, unless those costs are incurred to produce inventories. The lessee incurs the obligation for those costs either at the commencement date or as a consequence of having used the underlying asset during a particular period. </t>
  </si>
  <si>
    <t xml:space="preserve">25 A lessee shall recognise the costs described in paragraph 24(d) as part of the cost of the right-of-use asset when it incurs an obligation for those costs. A lessee applies AASB 102 Inventories to costs that are incurred during a particular period as a consequence of having used the right-of-use asset to produce inventories during that period. The obligations for such costs accounted for applying this Standard or AASB 102 are recognised and measured applying AASB 137 Provisions, Contingent Liabilities and Contingent Assets. </t>
  </si>
  <si>
    <t xml:space="preserve">33 A lessee shall apply AASB 136 Impairment of Assets to determine whether the right-of-use asset is impaired and to account for any impairment loss identified. </t>
  </si>
  <si>
    <t>AASB 136</t>
  </si>
  <si>
    <t xml:space="preserve">Recognising and measuring an impairment loss </t>
  </si>
  <si>
    <t xml:space="preserve">59 If, and only if, the recoverable amount of an asset is less than its carrying amount, the carrying amount of the asset shall be reduced to its recoverable amount. That reduction is an impairment loss. </t>
  </si>
  <si>
    <t xml:space="preserve">60 An impairment loss shall be recognised immediately in profit or loss, unless the asset is carried at revalued amount in accordance with another Standard (for example, in accordance with the revaluation model in AASB 116). Any impairment loss of a revalued asset shall be treated as a revaluation decrease in accordance with that other Standard. </t>
  </si>
  <si>
    <t xml:space="preserve">62 When the amount estimated for an impairment loss is greater than the carrying amount of the asset to which it relates, an entity shall recognise a liability if, and only if, that is required by another Standard. </t>
  </si>
  <si>
    <t>63 After the recognition of an impairment loss, the depreciation (amortisation) charge for the asset shall be adjusted in future periods to allocate the asset’s revised carrying amount, less its residual value (if any), on a systematic basis over its remaining useful life.</t>
  </si>
  <si>
    <t xml:space="preserve">61 An impairment loss on a non-revalued asset is recognised in profit or loss. However, an impairment loss on a revalued asset is recognised in other comprehensive income to the extent that the impairment loss does not exceed the amount in the revaluation surplus for that same asset. Such an impairment loss on a revalued asset reduces the revaluation surplus for that asset. 
Aus61.1 Notwithstanding paragraph 61, in respect of not-for-profit entities, an impairment loss on a revalued asset is recognised in other comprehensive income to the extent that the impairment loss does not exceed the amount in the revaluation surplus for the class of asset. Such an impairment loss on a revalued asset reduces the revaluation surplus for the class of asset. </t>
  </si>
  <si>
    <t>Impairment expense recogised on assumption that no credit balance in Asset Revaluation Reserve exists.</t>
  </si>
  <si>
    <t>Department A enters into a 5 year lease with an external lessor entity for 5,000 square metres of office space.  Commencement date is 1 July 2020.  Annual fixed lease payment is $50,000, payable at the beginning of each month.  IBR assessed as 3% per annum.</t>
  </si>
  <si>
    <t>Department A enters into a 5 year lease with an external lessor for 5,000 square metres of office space.  Commencement date is 1 July 2020.  Annual fixed lease payment is $50,000, payable at the beginning of each month.  IBR assessed as 3% per annum.</t>
  </si>
  <si>
    <t xml:space="preserve">Recognition of lease repayment and operating sublease rent </t>
  </si>
  <si>
    <t>revenue in 2021-22</t>
  </si>
  <si>
    <t>revenue in 2022-23</t>
  </si>
  <si>
    <t>Recognition of lease repayment and operating sublease rent</t>
  </si>
  <si>
    <t>revenue in 2023-24</t>
  </si>
  <si>
    <t>Agency X has a pool of leased motor vehicles.  Each motor vehicle lease is for 3 years, with lease payments at beginning of each month.</t>
  </si>
  <si>
    <t>(p)</t>
  </si>
  <si>
    <t>Buildings - Write Down &amp; Impairment</t>
  </si>
  <si>
    <t>Remaining Lease Incentive Payable under AASB 117 as at transition date 1 July 2019 was $26,667, reflecting:
- $20,000 for 6 month rent free period received on lease commencement 1 July 2018; and
- $6,667 for $10,000 fitout contribution provided by lessor at lease commencement ($10,000 in fitout expenditure by Agency X was reimbursed by lessor).  Fitout has been capitalised by Agency X as a controlled asset, with same useful life as lease term.</t>
  </si>
  <si>
    <t xml:space="preserve">Reversing an impairment loss for an individual asset </t>
  </si>
  <si>
    <t xml:space="preserve">120 A reversal of an impairment loss on a revalued asset is recognised in other comprehensive income and increases the revaluation surplus for that asset. However, to the extent that an impairment loss on the same revalued asset was previously recognised in profit or loss, a reversal of that impairment loss is also recognised in profit or loss. </t>
  </si>
  <si>
    <t xml:space="preserve">Aus120.1 Notwithstanding paragraph 120, in respect of not-for-profit entities, a reversal of an impairment loss on a revalued asset is recognised in other comprehensive income and increases the revaluation surplus. However, to the extent that an impairment loss on the same class of asset was previously recognised in profit or loss, a reversal of that impairment loss is also recognised in profit or loss. </t>
  </si>
  <si>
    <t xml:space="preserve">121 After a reversal of an impairment loss is recognised, the depreciation (amortisation) charge for the asset shall be adjusted in future periods to allocate the asset’s revised carrying amount, less its residual value (if any), on a systematic basis over its remaining useful life. </t>
  </si>
  <si>
    <t xml:space="preserve">On 1 July 2021 (beginning of Year 2), Department A subleases 1,000 square metres of office space for three years to a sublessee Department B.  Annual fixed lease payment is $15,000, payable at the beginning of each month.  Department A assesses the sublease as an operating sub lease given it is for only 1000 square metres of floorspace and 3 years, compared to 5000 square metres and 5 years under the head lease.  </t>
  </si>
  <si>
    <t>Agency X enters into a 4 year lease.  Commencement date is 1 July 2019.  Annual lease payment is $50,000, increasing by CPI each year on 1 July, except for on 1 July 2021 when a market review applies.    Lease payments payable at the beginning of each month.  IBR assessed as 3% per annum.</t>
  </si>
  <si>
    <t>Four motor vehicle leases were entered into in 2019-20:
Car A - Commencement 1 August 2019, monthly payments of $1200
Car B - Commencement 1 October 2019, monthly payments of $1000
Car C - Commencement 1 January 2020, monthly payments of $1150
Car D -  Commencement 1 April 2020, monthly payments of $1000</t>
  </si>
  <si>
    <t xml:space="preserve">GST has been ignored in the illustrative journals for simplicity.  </t>
  </si>
  <si>
    <t>This example is only a possible approach to calculating a portfolio of leases.  Any approach would need to be in the context of the agencies materiality thresholds and would need to be agreed with their auditor.</t>
  </si>
  <si>
    <t xml:space="preserve">Incremental borrowing rate (IBR) assessed to be 3% per annum.  </t>
  </si>
  <si>
    <t>Recognition of initial lease asset and liability on 1 July 2020 for portfolio of motor</t>
  </si>
  <si>
    <t>Clearing of Lease Straightling Provision as at transition date to Retained Earnings.</t>
  </si>
  <si>
    <t>Clearing of Lease Incentive Payable as at transition date to Retained Earnings.</t>
  </si>
  <si>
    <t>Clearing of Surplus (Onerous) Lease Provision as at transition date against ROU Asset.</t>
  </si>
  <si>
    <t xml:space="preserve"> (2021-22 to 2023-24)</t>
  </si>
  <si>
    <t>Remeasurement of Lease Liability &amp; ROU Asset after 2022-23 CPI.</t>
  </si>
  <si>
    <t>AASB 16 Journals</t>
  </si>
  <si>
    <t>Surplus Lease Provision under AASB 137 as at 30 June 2019 was $6,000 (relating to small portion of 5,000 square metres leased space).</t>
  </si>
  <si>
    <t>* Note:  Option C5(b) is required by the Departtment of Finance (Finance Position 2).</t>
  </si>
  <si>
    <t>Accumulated Amortisation (Fitout Asset)</t>
  </si>
  <si>
    <t>Makegood Provison recognised as at 1 July 2019 was $4500, calculated as estimated payment on lease expiry of $4,925, discounted by the IBR of 3%.</t>
  </si>
  <si>
    <t>ROU Asset derecognised is 3/5 of initial asset recognised (3 of 5 years HL term)</t>
  </si>
  <si>
    <t xml:space="preserve">On 1 July 2021 (beginning of Year 2), Department A subleases the 5,000 square metres of office space for three years to a sublessee Department B.  Annual fixed lease payment is $55,000, payable at the beginning of each month.  Department A assesses the sublease as a finance lease given it is for 3 out of the 4 remaining years of the head lease ROU assets life and is for all the floorspace under the head lease.  </t>
  </si>
  <si>
    <t>AASB 116</t>
  </si>
  <si>
    <t>Revaluation model</t>
  </si>
  <si>
    <t>35 When an item of property, plant and equipment is revalued, the carrying amount of that asset is adjusted to the revalued amount. At the date of the revaluation, the asset is treated in one of the following ways:  
(a) the gross carrying amount is adjusted in a manner that is consistent with the revaluation of the carrying amount of the asset. For example, the gross carrying amount may be restated by reference to observable market data or it may be restated proportionately to the change in the carrying amount. The accumulated depreciation at the date of the revaluation is adjusted to equal the difference between the gross carrying amount and the carrying amount of the asset after taking into account accumulated impairment losses; or 
(b) the accumulated depreciation is eliminated against the gross carrying amount of the asset. The amount of the adjustment of accumulated depreciation forms part of the increase or decrease in carrying amount that is accounted for in accordance with paragraphs 39, Aus39.1, 40, Aus40.1 and Aus40.2.</t>
  </si>
  <si>
    <t>* Note:  Not-for-profit entity lessees are required by the Department of Finance to elect the AASB 116 revaluation model option for their ROU assets that relate to a class of property, plant and equipment for which fair valuation is required (Finance Position 13).</t>
  </si>
  <si>
    <t xml:space="preserve">  </t>
  </si>
  <si>
    <t>Depreciation - Other infrastructure, plant and equipment</t>
  </si>
  <si>
    <t>C10 A lessee may use one or more of the following practical expedients when applying this Standard retrospectively in accordance with paragraph C5(b) to leases previously classified as operating leases applying AASB 117. A lessee is permitted to apply these practical expedients on a lease-by-lease basis: 
(a) a lessee may apply a single discount rate to a portfolio of leases with reasonably similar characteristics (such as leases with a similar remaining lease term for a similar class of underlying asset in a similar economic environment).</t>
  </si>
  <si>
    <t>Expense</t>
  </si>
  <si>
    <t xml:space="preserve"> vehicles leased in 2019-20</t>
  </si>
  <si>
    <t>Revised Lease Calculations - CPI Increase 1 July 2020</t>
  </si>
  <si>
    <t>Revised Lease Calculations - Market Review 1 July 2021</t>
  </si>
  <si>
    <t>Revised Lease Calculations - CPI Increase 1 July 2022</t>
  </si>
  <si>
    <t>Agency X enters into a 3 year lease.  Commencement date is 1 July 2019.  Annual lease payment is US$50,000, increasing by 2% each year on 1 July.    Lease payments payable at the beginning of each month.  IBR assessed as 3% per annum.</t>
  </si>
  <si>
    <t xml:space="preserve">Exchange rates are as follows:  1 July 2019 AUD$1=$US.6, 2019-20 AUD$1=$US.65 (average); 30 June 2020 AUD$1=$US.68; 2020-21 AUD$1=$US.70 (average); 30 June 2021 AUD$1=$US.66; 2021-22 AUD$1=$US.64 (average). </t>
  </si>
  <si>
    <t>Accounting for Foreign Currency Lease</t>
  </si>
  <si>
    <t>AASB 121 References</t>
  </si>
  <si>
    <t>23 At the end of each reporting period:  
(a) foreign currency monetary items shall be translated using the closing rate; 
(b) non-monetary items that are measured in terms of historical cost in a foreign currency shall be translated using the exchange rate at the date of the transaction; and 
(c) non-monetary items that are measured at fair value in a foreign currency shall be translated using the exchange rates at the date when the fair value was measured.</t>
  </si>
  <si>
    <t>25 The carrying amount of some items is determined by comparing two or more amounts. For example, the carrying amount of inventories is the lower of cost and net realisable value in accordance with AASB 102 Inventories. Similarly, in accordance with AASB 136 Impairment of Assets, the carrying amount of an asset for which there is an indication of impairment is the lower of its carrying amount before considering possible impairment losses and its recoverable amount. When such an asset is non-monetary and is measured in a foreign currency, the carrying amount is determined by comparing:  
(a) the cost or carrying amount, as appropriate, translated at the exchange rate at the date when that amount was determined (ie the rate at the date of the transaction for an item measured in terms of historical cost); and 
b) the net realisable value or recoverable amount, as appropriate, translated at the exchange rate at the date when that value was determined (eg the closing rate at the end of the reporting period). The effect of this comparison may be that an impairment loss is recognised in the functional currency but would not be recognised in the foreign currency, or vice versa.</t>
  </si>
  <si>
    <t xml:space="preserve">28 Exchange differences arising on the settlement of monetary items or on translating monetary items at rates different from those at which they were translated on initial recognition during the period or in previous financial statements shall be recognised in profit or loss in the period in which they arise, except as described in paragraph 32. </t>
  </si>
  <si>
    <t>30 When a gain or loss on a non-monetary item is recognised in other comprehensive income, any exchange component of that gain or loss shall be recognised in other comprehensive income. Conversely, when a gain or loss on a non-monetary item is recognised in profit or loss, any exchange component of that gain or loss shall be recognised in profit or loss.</t>
  </si>
  <si>
    <t>IASB 16 Basis for Conclusions</t>
  </si>
  <si>
    <t xml:space="preserve">BC198  The IASB decided that any foreign currency exchange differences relating to lease liabilities denominated in a foreign currency should be recognised in profit or loss, for the following reasons: 
(a)  this approach is consistent with the requirements for foreign exchange differences arising from other financial liabilities (for example, loans and previous finance lease liabilities accounted for applying IAS 17). 
(b)  a lessee with a liability denominated in a foreign currency is exposed to foreign currency risk. Consequently, foreign currency exchange gains or losses recognised in profit or loss faithfully represent the economic effect of the lessee’s currency exposure to the foreign exchange risk. 
(c)  if a lessee enters into derivatives to hedge its economic exposure to foreign currency risk, the recognition of foreign currency exchange differences relating to lease liabilities as an adjustment to the cost of right-of-use assets would prevent a natural offset of the economic exposure in profit or loss. This is because an entity would recognise any change in the foreign currency risk for the derivatives in profit or loss, whereas it would recognise the corresponding change in lease liabilities in the balance sheet—thus introducing volatility as a result of reducing exposure to foreign currency risk. This mismatch could distort the reported economic position of the lessee. 
(d)  in the IASB’s view, subsequent changes to a foreign exchange rate should not have any effect on the cost of a non-monetary item. Consequently, it would be inappropriate to include such changes in the remeasurement of the right-of-use asset. </t>
  </si>
  <si>
    <t>Monthly Payment (AUD)</t>
  </si>
  <si>
    <t>PV Monthly Payment (AUD)</t>
  </si>
  <si>
    <t>Monthly Payment (USD)</t>
  </si>
  <si>
    <t>FX Rate</t>
  </si>
  <si>
    <t>Revised Lease Calculations - 30 June 2020</t>
  </si>
  <si>
    <t>Revised Lease Calculations - 30 June 2021</t>
  </si>
  <si>
    <t>Initial recognition of Lease Liability and ROU Asset (AUD = .6 USD).</t>
  </si>
  <si>
    <t>Recognition of lease repayment 2019-20 (AUD = .65 USD).</t>
  </si>
  <si>
    <t>Remeasurement of Lease Liability as at 30 June 2020 (AUD = .68 USD).</t>
  </si>
  <si>
    <t>Revaluation of ROU asset on 30 June 2020 (AUD = .68 USD).</t>
  </si>
  <si>
    <t>Recognition of lease repayment 2020-21 (AUD = .7 USD).</t>
  </si>
  <si>
    <t>Remeasurement of Lease Liability as at 30 June 2021 (AUD = .66 USD).</t>
  </si>
  <si>
    <t>Recognition of lease repayment 2021-22 (AUD = .64 USD).</t>
  </si>
  <si>
    <t>Foreign Currency Gain - Other</t>
  </si>
  <si>
    <t>Foreign Currency Loss - Other</t>
  </si>
  <si>
    <t xml:space="preserve">21 A foreign currency transaction shall be recorded, on initial recognition in the functional currency, by applying to the foreign currency amount the spot exchange rate between the functional currency and the foreign currency at the date of the transaction. </t>
  </si>
  <si>
    <t>22 The date of a transaction is the date on which the transaction first qualifies for recognition in accordance with Australian Accounting Standards. For practical reasons, a rate that approximates the actual rate at the date of the transaction is often used, for example, an average rate for a week or a month might be used for all transactions in each foreign currency occurring during that period. However, if exchange rates fluctuate significantly, the use of the average rate for a period is inappropriate.</t>
  </si>
  <si>
    <t>Lease Incentives provided by lessor were:
- 6 month rent free period received on lease commencement 1 July 2019; and
- $10,000 fitout contribution at lease commencement ($10,000 in fitout expenditure by Agency X reimbursed by lessor on 1 July 2019).  Fitout was capitalised by Agency X on 1 July 2019, with a useful life of 2 years.</t>
  </si>
  <si>
    <t>Accounting for Sale and Leaseback</t>
  </si>
  <si>
    <t>Cash at Bank</t>
  </si>
  <si>
    <t>Value of Land &amp; Buildings Sold - Gain on Sale</t>
  </si>
  <si>
    <t>Proceeds from Sale of Land &amp; Buildings - Gain on Sale</t>
  </si>
  <si>
    <t xml:space="preserve">Other Gains </t>
  </si>
  <si>
    <t xml:space="preserve">Recognition of the sale and leaseback.  ROU asset is equal to initial lease liability, adjusted for a deferred </t>
  </si>
  <si>
    <t xml:space="preserve">gain.  A portion ($36,771) of the $200,000 gain has been deferred as it relates to the ROU asset 
</t>
  </si>
  <si>
    <t xml:space="preserve">Transfer of the asset is a sale 
</t>
  </si>
  <si>
    <t>100 If the transfer of an asset by the seller-lessee satisfies the requirements of AASB 15 to be accounted for as a sale of the asset: 
(a) the seller-lessee shall measure the right-of-use asset arising from the leaseback at the proportion of the previous carrying amount of the asset that relates to the right of use retained by the seller-lessee. Accordingly, the seller-lessee shall recognise only the amount of any gain or loss that relates to the rights transferred to the buyer-lessor.
(b) the buyer-lessor shall account for the purchase of the asset applying applicable Standards, and for the lease applying the lessor accounting requirements in this Standard.</t>
  </si>
  <si>
    <t>Agency X sells land for $750,000 on 1 July 2019.  The sale price equates to the lands fair value.  The carrying value of the land on 30 June 2019 is $550,000.  
As part of the sale, Agency X agrees to leaseback the land.  Annual fixed lease payment is $48,000, payable at beginning of each month.  Lease term is 3 years, commencing from 1 July 2019.  Incremental borrowing rate (IBR) assessed to be 3% per annum.  There are no initial direct costs.</t>
  </si>
  <si>
    <t>Land (Carying Value of Land Disposed)</t>
  </si>
  <si>
    <t>Land (ROU Asset)</t>
  </si>
  <si>
    <t>retained by Agency X.  The deferred gain will be realised as lower amortisation on the right of use asset</t>
  </si>
  <si>
    <t xml:space="preserve"> over the life of the lease. </t>
  </si>
  <si>
    <t>Recognition of the initial lease.</t>
  </si>
  <si>
    <t>Buidlings (ROU Asset)</t>
  </si>
  <si>
    <t>Other Payables</t>
  </si>
  <si>
    <t>Termination of lease on 1 July 2020.</t>
  </si>
  <si>
    <t>Payment of lease termination fee on 1 July 2020.</t>
  </si>
  <si>
    <t>Cash at bank</t>
  </si>
  <si>
    <t>Buildings (Disposal of ROU Asset Gross Value)</t>
  </si>
  <si>
    <t>Buildings (Disposal of ROU Asset Accumulated Deprciation)</t>
  </si>
  <si>
    <t>Accounting for Lease Termination</t>
  </si>
  <si>
    <t>Re-assessment of the lease liability</t>
  </si>
  <si>
    <t xml:space="preserve">46 For a lease modification that is not accounted for as a separate lease, the lessee shall account for the remeasurement of the lease liability by: (a) decreasing the carrying amount of the right-of-use asset to reflect the partial or full termination of the lease for lease modifications that decrease the scope of the lease. The lessee shall recognise in profit or loss any gain or loss relating to the partial or full termination of the lease. (b) making a corresponding adjustment to the right-of-use asset for all other lease modifications. </t>
  </si>
  <si>
    <t>On 1 July 2020, Agency X is subject to an unexpected Government restructure and consequently decides to terminate the lease immedately.  Agency X pays termination penalty on 1 July 2020.</t>
  </si>
  <si>
    <t>Agency X agrees to lease a building where annual fixed lease payment is $48,000, payable at beginning of each month.  Lease term is 3 years, commencing from 1 July 2019.  Incremental borrowing rate (IBR) assessed to be 3% per annum.  There are no initial direct costs.  Lease agreement has termination penalty of 12 months rent.</t>
  </si>
  <si>
    <t>Accounting would be symmetrical where a loss on sale occurs.  Paragraph 100(a) of AASB 16 requires a portion of the loss on sale to be deferred to the extent that the seller retains rights to the asset sold through the ROU asset.</t>
  </si>
  <si>
    <t>Re-measurement movement code 7371 should be used to ensure that lease termination impacts fiscal balance.</t>
  </si>
  <si>
    <t>.</t>
  </si>
  <si>
    <t>Accum Deprec - Buildings (ROU Asset)</t>
  </si>
  <si>
    <t xml:space="preserve">Finance leases recognition and measurement </t>
  </si>
  <si>
    <t>Loss on Lease Disposal</t>
  </si>
  <si>
    <t>ROU Asset GV</t>
  </si>
  <si>
    <t>ROU Asset - AD</t>
  </si>
  <si>
    <t xml:space="preserve">ROU Asset Depreciation </t>
  </si>
  <si>
    <t>Interest Exp</t>
  </si>
  <si>
    <t>Lease Expense</t>
  </si>
  <si>
    <t>Surplus Lease</t>
  </si>
  <si>
    <t>Buildings - Write Down and Impairment</t>
  </si>
  <si>
    <t xml:space="preserve">Indicators of impairment applied to the ROU asset as at 30 June 2020.  Recoverable amount of ROU asset was estimated at that date to be US $100,000.  </t>
  </si>
  <si>
    <t>Initial</t>
  </si>
  <si>
    <t>On Reassessment</t>
  </si>
  <si>
    <t xml:space="preserve">Agency X enters into a 3 year lease with Entity A (an external entity).  Commencement date is 1 July 2019.  Annual fixed lease payment is $50,000 (increased by 3% per annum on 1 July), payable at the beginning of each month. </t>
  </si>
  <si>
    <t xml:space="preserve">A one year extension option is not considered 'reasonably certain' at commencement date.  On 1 July 2020, the option is reassessed to be 'reasonably certain' (eg. Agency X undertakes significant fitout work in 2019-20).  </t>
  </si>
  <si>
    <t xml:space="preserve">Annual IBR on lease commencement was 3%.  Annual IBR on reassessment of lease term 1 July 2020 was 3.6%. </t>
  </si>
  <si>
    <t>Accounting for lease incentives, makegood and impairment in leases which commence after transition date</t>
  </si>
  <si>
    <t xml:space="preserve">On 1 July 2021, impairment for surplus lease space of $6,000 was identified (relating to portion of leased space assessed as surplus for the remainder of lease term). </t>
  </si>
  <si>
    <t>Accounting for fitout lease incentives received after commencement date</t>
  </si>
  <si>
    <t>Lease Incentives provided by lessor were a  $10,000 contribution to reimburse lessee fitout costs once incurred.  Agency X planned to complete fitout expenditure by 30 June 2020.  $12,000 of fitout was capitalised by Agency X on 1 July 2020, with a useful life of 2 years.</t>
  </si>
  <si>
    <t>€</t>
  </si>
  <si>
    <t>Agency X enters into a 4 year lease.  Commencement date is 1 July 2019.  Annual lease payment is $50,000, increasing by 3% each year on 1 July, except for on 1 July 2021 when a market review applies.    Lease payments payable</t>
  </si>
  <si>
    <t xml:space="preserve"> at the beginning of each month.  IBR assessed as 3% per annum.  In late 2020-21 a market review is undertaken and the lease payment adjustment determined for 2021-22 is 5%, effective from 1 July 2021.</t>
  </si>
  <si>
    <t>Accounting for Leases with Fixed Annual Increases and an Intervening Market Review</t>
  </si>
  <si>
    <t>Accounting may be subject to specific lease agreement details and should be confirmed with the audit team.</t>
  </si>
  <si>
    <r>
      <t>24 The cost of the right-of-use asset shall comprise: 
(a) the amount of the initial measurement of the lease liability, as described in paragraph 26; 
(b) any lease payments made at or before the commencement date,</t>
    </r>
    <r>
      <rPr>
        <b/>
        <sz val="11"/>
        <rFont val="Calibri"/>
        <family val="2"/>
        <scheme val="minor"/>
      </rPr>
      <t xml:space="preserve"> less any lease incentives received;</t>
    </r>
    <r>
      <rPr>
        <sz val="11"/>
        <color theme="1"/>
        <rFont val="Calibri"/>
        <family val="2"/>
        <scheme val="minor"/>
      </rPr>
      <t xml:space="preserve"> 
(c) any initial direct costs incurred by the lessee; and 
(d) an estimate of costs to be incurred by the lessee in dismantling and removing the underlying asset, restoring the site on which it is located or restoring the underlying asset to the condition required by the terms and conditions of the lease, unless those costs are incurred to produce inventories. The lessee incurs the obligation for those costs either at the commencement date or as a consequence of having used the underlying asset during a particular period. </t>
    </r>
  </si>
  <si>
    <r>
      <t xml:space="preserve">27 At the commencement date, the lease payments included in the measurement of the lease liability comprise the following payments for the right to use the underlying asset during the lease term that are not paid at the commencement date: 
(a) fixed payments (including in-substance fixed payments as described in paragraph B42), </t>
    </r>
    <r>
      <rPr>
        <b/>
        <sz val="11"/>
        <rFont val="Calibri"/>
        <family val="2"/>
        <scheme val="minor"/>
      </rPr>
      <t>less any lease incentives receivable;</t>
    </r>
    <r>
      <rPr>
        <sz val="11"/>
        <color theme="1"/>
        <rFont val="Calibri"/>
        <family val="2"/>
        <scheme val="minor"/>
      </rPr>
      <t xml:space="preserve"> 
(b) variable lease payments that depend on an index or a rate, initially measured using the index or rate as at the commencement date (as described in paragraph 28); 
(c) amounts expected to be payable by the lessee under residual value guarantees; 
(d) the exercise price of a purchase option if the lessee is reasonably certain to exercise that option (assessed considering the factors described in paragraphs B37–B40); and (e) payments of penalties for terminating the lease, if the lease term reflects the lessee exercising an option to terminate the lease. </t>
    </r>
  </si>
  <si>
    <t xml:space="preserve">Accounting may be subject to specific lease agreement details and should be confirmed with the audit team. </t>
  </si>
  <si>
    <t>Accounting may be subject to specific lease agreement details and should be confirmed with the audit team. GST has been ignored in the illustrative journals for simplicity.</t>
  </si>
  <si>
    <t xml:space="preserve">Market reviews are variable lease payments under AASB 16, which are defined in AASB 16 Appendix A as: “The portion of payments made by a lessee to a lessor for the right to use an underlying asset during the lease term that varies because of changes in facts or circumstances occurring after the commencement date, other than the passage of time”.  Paragraph 28 of AASB 16 states “variable lease payments that depend on an index or a rate described in paragraph 27(b) include, for example, payments linked to a consumer price index, payments linked to a benchmark interest rate (such as LIBOR) or payments that vary to reflect changes in market rental rates”.
Paragraph 27(b) of AASB 16 states that lease liabilities should initially be measured incorporating variable lease payments at the rate applicable at commencement date.  Future changes to variable lease payments linked to an index such as CPI should not be estimated at lease commencement.    
Paragraphs 36(c) and 42(b) of AASB 16 states that lease liabilities should be remeasured to reflect revised lease payments due to a change in index or rate only when the lease payments have changed, using the same discount rate .  Paragraph B42 of AASB 16 states that where there are more than one set of lease payments under a lease agreement that a lessee could realistically be required to make, the lessee should use the lowest realistically possible lease payments in measuring the lease liability.  
Commonwealth entities should therefore incorporate all fixed annual rate changes, both before and after market review dates, in the initial measurement of the lease liability.   No estimate of future market review adjustments should be incorporated.  </t>
  </si>
  <si>
    <t>Accounting is subject to specific lease agreement details and should be confirmed with the audit team. In particular in this example termination is assumed to be effective immediately. GST has been ignored in the illustrative journals for simplicity.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</si>
</sst>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3"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b/>
      <sz val="12"/>
      <color theme="1"/>
      <name val="Calibri"/>
      <family val="2"/>
      <scheme val="minor"/>
    </font>
    <font>
      <b/>
      <sz val="14"/>
      <color theme="1"/>
      <name val="Calibri"/>
      <family val="2"/>
      <scheme val="minor"/>
    </font>
    <font>
      <b/>
      <sz val="9"/>
      <color indexed="81"/>
      <name val="Tahoma"/>
      <family val="2"/>
    </font>
    <font>
      <sz val="9"/>
      <color indexed="81"/>
      <name val="Tahoma"/>
      <family val="2"/>
    </font>
    <font>
      <b/>
      <sz val="12"/>
      <name val="Calibri"/>
      <family val="2"/>
      <scheme val="minor"/>
    </font>
    <font>
      <b/>
      <sz val="11"/>
      <color rgb="FFFF0000"/>
      <name val="Calibri"/>
      <family val="2"/>
      <scheme val="minor"/>
    </font>
    <font>
      <sz val="9"/>
      <color indexed="81"/>
      <name val="Tahoma"/>
      <charset val="1"/>
    </font>
    <font>
      <b/>
      <sz val="9"/>
      <color indexed="81"/>
      <name val="Tahoma"/>
      <charset val="1"/>
    </font>
  </fonts>
  <fills count="20">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CCFFCC"/>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2"/>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0"/>
        <bgColor indexed="64"/>
      </patternFill>
    </fill>
    <fill>
      <patternFill patternType="gray0625"/>
    </fill>
    <fill>
      <patternFill patternType="solid">
        <fgColor indexed="65"/>
        <bgColor indexed="64"/>
      </patternFill>
    </fill>
    <fill>
      <patternFill patternType="solid">
        <fgColor rgb="FFFFFF00"/>
        <bgColor indexed="64"/>
      </patternFill>
    </fill>
  </fills>
  <borders count="1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s>
  <cellStyleXfs count="1">
    <xf numFmtId="0" fontId="0" fillId="0" borderId="0"/>
  </cellStyleXfs>
  <cellXfs count="450">
    <xf numFmtId="0" fontId="0" fillId="0" borderId="0" xfId="0"/>
    <xf numFmtId="0" fontId="2" fillId="0" borderId="0" xfId="0" applyFont="1"/>
    <xf numFmtId="0" fontId="2" fillId="2" borderId="0" xfId="0" applyFont="1" applyFill="1"/>
    <xf numFmtId="0" fontId="0" fillId="2" borderId="0" xfId="0" applyFill="1"/>
    <xf numFmtId="0" fontId="0" fillId="3" borderId="0" xfId="0" applyFill="1"/>
    <xf numFmtId="0" fontId="2" fillId="3" borderId="0" xfId="0" applyFont="1" applyFill="1"/>
    <xf numFmtId="0" fontId="2" fillId="4" borderId="0" xfId="0" applyFont="1" applyFill="1"/>
    <xf numFmtId="0" fontId="0" fillId="4" borderId="0" xfId="0" applyFill="1"/>
    <xf numFmtId="0" fontId="2" fillId="5" borderId="0" xfId="0" applyFont="1" applyFill="1"/>
    <xf numFmtId="0" fontId="0" fillId="5" borderId="0" xfId="0" applyFill="1"/>
    <xf numFmtId="0" fontId="2" fillId="6" borderId="0" xfId="0" applyFont="1" applyFill="1"/>
    <xf numFmtId="0" fontId="0" fillId="6" borderId="0" xfId="0" applyFill="1"/>
    <xf numFmtId="0" fontId="1" fillId="3" borderId="0" xfId="0" applyFont="1" applyFill="1"/>
    <xf numFmtId="0" fontId="1" fillId="4" borderId="0" xfId="0" applyFont="1" applyFill="1"/>
    <xf numFmtId="0" fontId="1" fillId="5" borderId="0" xfId="0" applyFont="1" applyFill="1"/>
    <xf numFmtId="0" fontId="1" fillId="2" borderId="0" xfId="0" applyFont="1" applyFill="1"/>
    <xf numFmtId="0" fontId="1" fillId="6" borderId="0" xfId="0" applyFont="1" applyFill="1"/>
    <xf numFmtId="0" fontId="5" fillId="0" borderId="0" xfId="0" applyFont="1"/>
    <xf numFmtId="0" fontId="0" fillId="0" borderId="0" xfId="0" applyAlignment="1"/>
    <xf numFmtId="0" fontId="6" fillId="0" borderId="0" xfId="0" applyFont="1"/>
    <xf numFmtId="0" fontId="0" fillId="0" borderId="0" xfId="0" applyAlignment="1">
      <alignment horizontal="left" indent="1"/>
    </xf>
    <xf numFmtId="0" fontId="5" fillId="0" borderId="0" xfId="0" applyFont="1" applyAlignment="1">
      <alignment horizontal="left" indent="1"/>
    </xf>
    <xf numFmtId="10" fontId="2" fillId="0" borderId="0" xfId="0" applyNumberFormat="1" applyFont="1"/>
    <xf numFmtId="0" fontId="2" fillId="0" borderId="0" xfId="0" applyFont="1" applyAlignment="1">
      <alignment horizontal="center"/>
    </xf>
    <xf numFmtId="0" fontId="2" fillId="0" borderId="1" xfId="0" applyFont="1" applyBorder="1"/>
    <xf numFmtId="0" fontId="2" fillId="0" borderId="2" xfId="0" applyFont="1" applyBorder="1"/>
    <xf numFmtId="0" fontId="2" fillId="0" borderId="2" xfId="0" applyFont="1" applyBorder="1" applyAlignment="1">
      <alignment wrapText="1"/>
    </xf>
    <xf numFmtId="0" fontId="2" fillId="0" borderId="3" xfId="0" applyFont="1" applyBorder="1" applyAlignment="1">
      <alignment wrapText="1"/>
    </xf>
    <xf numFmtId="0" fontId="0" fillId="0" borderId="4" xfId="0" applyBorder="1"/>
    <xf numFmtId="0" fontId="0" fillId="0" borderId="0" xfId="0" applyBorder="1"/>
    <xf numFmtId="3" fontId="2" fillId="0" borderId="0" xfId="0" applyNumberFormat="1" applyFont="1" applyBorder="1"/>
    <xf numFmtId="3" fontId="0" fillId="0" borderId="0" xfId="0" applyNumberFormat="1" applyBorder="1"/>
    <xf numFmtId="3" fontId="0" fillId="0" borderId="5" xfId="0" applyNumberFormat="1" applyBorder="1"/>
    <xf numFmtId="17" fontId="0" fillId="0" borderId="0" xfId="0" applyNumberFormat="1" applyBorder="1"/>
    <xf numFmtId="3" fontId="2" fillId="0" borderId="5" xfId="0" applyNumberFormat="1" applyFont="1" applyBorder="1"/>
    <xf numFmtId="0" fontId="0" fillId="0" borderId="6" xfId="0" applyBorder="1"/>
    <xf numFmtId="0" fontId="0" fillId="0" borderId="7" xfId="0" applyBorder="1"/>
    <xf numFmtId="3" fontId="2" fillId="0" borderId="7" xfId="0" applyNumberFormat="1" applyFont="1" applyBorder="1"/>
    <xf numFmtId="0" fontId="0" fillId="0" borderId="8" xfId="0" applyBorder="1"/>
    <xf numFmtId="0" fontId="2" fillId="7" borderId="1" xfId="0" applyFont="1" applyFill="1" applyBorder="1"/>
    <xf numFmtId="0" fontId="0" fillId="7" borderId="0" xfId="0" applyFill="1" applyBorder="1"/>
    <xf numFmtId="3" fontId="0" fillId="7" borderId="0" xfId="0" applyNumberFormat="1" applyFill="1" applyBorder="1"/>
    <xf numFmtId="0" fontId="0" fillId="8" borderId="0" xfId="0" applyFill="1" applyBorder="1"/>
    <xf numFmtId="0" fontId="0" fillId="9" borderId="0" xfId="0" applyFill="1" applyBorder="1"/>
    <xf numFmtId="0" fontId="0" fillId="9" borderId="5" xfId="0" applyFill="1" applyBorder="1"/>
    <xf numFmtId="3" fontId="0" fillId="9" borderId="5" xfId="0" applyNumberFormat="1" applyFill="1" applyBorder="1"/>
    <xf numFmtId="3" fontId="0" fillId="8" borderId="0" xfId="0" applyNumberFormat="1" applyFill="1" applyBorder="1"/>
    <xf numFmtId="0" fontId="0" fillId="7" borderId="7" xfId="0" applyFill="1" applyBorder="1"/>
    <xf numFmtId="0" fontId="0" fillId="8" borderId="7" xfId="0" applyFill="1" applyBorder="1"/>
    <xf numFmtId="0" fontId="0" fillId="9" borderId="7" xfId="0" applyFill="1" applyBorder="1"/>
    <xf numFmtId="0" fontId="0" fillId="9" borderId="8" xfId="0" applyFill="1" applyBorder="1"/>
    <xf numFmtId="0" fontId="0" fillId="7" borderId="2" xfId="0" applyFill="1" applyBorder="1"/>
    <xf numFmtId="3" fontId="0" fillId="7" borderId="2" xfId="0" applyNumberFormat="1" applyFill="1" applyBorder="1"/>
    <xf numFmtId="0" fontId="0" fillId="0" borderId="2" xfId="0" applyBorder="1"/>
    <xf numFmtId="0" fontId="0" fillId="8" borderId="2" xfId="0" applyFill="1" applyBorder="1"/>
    <xf numFmtId="0" fontId="0" fillId="9" borderId="2" xfId="0" applyFill="1" applyBorder="1"/>
    <xf numFmtId="0" fontId="0" fillId="9" borderId="3" xfId="0" applyFill="1" applyBorder="1"/>
    <xf numFmtId="3" fontId="0" fillId="8" borderId="2" xfId="0" applyNumberFormat="1" applyFill="1" applyBorder="1"/>
    <xf numFmtId="3" fontId="0" fillId="9" borderId="3" xfId="0" applyNumberFormat="1" applyFill="1" applyBorder="1"/>
    <xf numFmtId="14" fontId="2" fillId="7" borderId="2" xfId="0" applyNumberFormat="1" applyFont="1" applyFill="1" applyBorder="1"/>
    <xf numFmtId="0" fontId="2" fillId="7" borderId="4" xfId="0" applyFont="1" applyFill="1" applyBorder="1"/>
    <xf numFmtId="0" fontId="2" fillId="7" borderId="0" xfId="0" applyFont="1" applyFill="1" applyBorder="1"/>
    <xf numFmtId="0" fontId="2" fillId="7" borderId="6" xfId="0" applyFont="1" applyFill="1" applyBorder="1"/>
    <xf numFmtId="0" fontId="2" fillId="7" borderId="7" xfId="0" applyFont="1" applyFill="1" applyBorder="1"/>
    <xf numFmtId="0" fontId="2" fillId="7" borderId="2" xfId="0" applyFont="1" applyFill="1" applyBorder="1"/>
    <xf numFmtId="0" fontId="2" fillId="7" borderId="4" xfId="0" quotePrefix="1" applyFont="1" applyFill="1" applyBorder="1"/>
    <xf numFmtId="14" fontId="2" fillId="7" borderId="0" xfId="0" applyNumberFormat="1" applyFont="1" applyFill="1" applyBorder="1"/>
    <xf numFmtId="10" fontId="0" fillId="0" borderId="0" xfId="0" applyNumberFormat="1"/>
    <xf numFmtId="8" fontId="0" fillId="0" borderId="0" xfId="0" applyNumberFormat="1"/>
    <xf numFmtId="3" fontId="0" fillId="7" borderId="3" xfId="0" applyNumberFormat="1" applyFill="1" applyBorder="1"/>
    <xf numFmtId="3" fontId="0" fillId="7" borderId="5" xfId="0" applyNumberFormat="1" applyFill="1" applyBorder="1"/>
    <xf numFmtId="0" fontId="2" fillId="0" borderId="0" xfId="0" applyFont="1" applyBorder="1"/>
    <xf numFmtId="3" fontId="0" fillId="0" borderId="0" xfId="0" applyNumberFormat="1"/>
    <xf numFmtId="3" fontId="0" fillId="7" borderId="8" xfId="0" applyNumberFormat="1" applyFill="1" applyBorder="1"/>
    <xf numFmtId="0" fontId="2" fillId="0" borderId="0" xfId="0" applyFont="1" applyBorder="1" applyAlignment="1">
      <alignment wrapText="1"/>
    </xf>
    <xf numFmtId="3" fontId="0" fillId="0" borderId="0" xfId="0" applyNumberFormat="1" applyFill="1" applyBorder="1"/>
    <xf numFmtId="0" fontId="0" fillId="0" borderId="9" xfId="0" applyBorder="1"/>
    <xf numFmtId="0" fontId="0" fillId="0" borderId="10" xfId="0" applyBorder="1"/>
    <xf numFmtId="0" fontId="2" fillId="7" borderId="9" xfId="0" applyFont="1" applyFill="1" applyBorder="1"/>
    <xf numFmtId="0" fontId="2" fillId="7" borderId="10" xfId="0" applyFont="1" applyFill="1" applyBorder="1" applyAlignment="1">
      <alignment wrapText="1"/>
    </xf>
    <xf numFmtId="0" fontId="2" fillId="7" borderId="11" xfId="0" applyFont="1" applyFill="1" applyBorder="1" applyAlignment="1">
      <alignment wrapText="1"/>
    </xf>
    <xf numFmtId="0" fontId="0" fillId="7" borderId="5" xfId="0" applyFill="1" applyBorder="1"/>
    <xf numFmtId="0" fontId="0" fillId="7" borderId="8" xfId="0" applyFill="1" applyBorder="1"/>
    <xf numFmtId="0" fontId="2" fillId="0" borderId="12" xfId="0" applyFont="1" applyBorder="1"/>
    <xf numFmtId="0" fontId="2" fillId="0" borderId="4" xfId="0" applyFont="1" applyBorder="1"/>
    <xf numFmtId="0" fontId="2" fillId="7" borderId="5" xfId="0" applyFont="1" applyFill="1" applyBorder="1"/>
    <xf numFmtId="0" fontId="2" fillId="8" borderId="0" xfId="0" applyFont="1" applyFill="1" applyBorder="1"/>
    <xf numFmtId="0" fontId="0" fillId="8" borderId="4" xfId="0" applyFill="1" applyBorder="1"/>
    <xf numFmtId="0" fontId="2" fillId="8" borderId="5" xfId="0" applyFont="1" applyFill="1" applyBorder="1"/>
    <xf numFmtId="0" fontId="0" fillId="8" borderId="1" xfId="0" applyFill="1" applyBorder="1"/>
    <xf numFmtId="0" fontId="0" fillId="8" borderId="3" xfId="0" applyFill="1" applyBorder="1"/>
    <xf numFmtId="0" fontId="0" fillId="8" borderId="5" xfId="0" applyFill="1" applyBorder="1"/>
    <xf numFmtId="0" fontId="0" fillId="8" borderId="6" xfId="0" applyFill="1" applyBorder="1"/>
    <xf numFmtId="0" fontId="0" fillId="8" borderId="8" xfId="0" applyFill="1" applyBorder="1"/>
    <xf numFmtId="3" fontId="0" fillId="8" borderId="3" xfId="0" applyNumberFormat="1" applyFill="1" applyBorder="1"/>
    <xf numFmtId="3" fontId="0" fillId="8" borderId="5" xfId="0" applyNumberFormat="1" applyFill="1" applyBorder="1"/>
    <xf numFmtId="0" fontId="2" fillId="0" borderId="4" xfId="0" applyFont="1" applyBorder="1" applyAlignment="1">
      <alignment wrapText="1"/>
    </xf>
    <xf numFmtId="0" fontId="2" fillId="9" borderId="0" xfId="0" applyFont="1" applyFill="1" applyBorder="1"/>
    <xf numFmtId="0" fontId="2" fillId="9" borderId="5" xfId="0" applyFont="1" applyFill="1" applyBorder="1"/>
    <xf numFmtId="0" fontId="2" fillId="9" borderId="4" xfId="0" applyFont="1" applyFill="1" applyBorder="1"/>
    <xf numFmtId="0" fontId="0" fillId="9" borderId="1" xfId="0" applyFill="1" applyBorder="1"/>
    <xf numFmtId="0" fontId="0" fillId="9" borderId="4" xfId="0" applyFill="1" applyBorder="1"/>
    <xf numFmtId="0" fontId="0" fillId="9" borderId="6" xfId="0" applyFill="1" applyBorder="1"/>
    <xf numFmtId="3" fontId="2" fillId="7" borderId="5" xfId="0" applyNumberFormat="1" applyFont="1" applyFill="1" applyBorder="1"/>
    <xf numFmtId="0" fontId="0" fillId="10" borderId="0" xfId="0" applyFill="1"/>
    <xf numFmtId="0" fontId="1" fillId="10" borderId="0" xfId="0" applyFont="1" applyFill="1"/>
    <xf numFmtId="0" fontId="3" fillId="0" borderId="0" xfId="0" applyFont="1"/>
    <xf numFmtId="0" fontId="4" fillId="0" borderId="0" xfId="0" applyFont="1"/>
    <xf numFmtId="0" fontId="2" fillId="0" borderId="0" xfId="0" applyFont="1" applyAlignment="1">
      <alignment horizontal="center"/>
    </xf>
    <xf numFmtId="0" fontId="3" fillId="7" borderId="0" xfId="0" applyFont="1" applyFill="1" applyBorder="1"/>
    <xf numFmtId="3" fontId="3" fillId="7" borderId="5" xfId="0" applyNumberFormat="1" applyFont="1" applyFill="1" applyBorder="1"/>
    <xf numFmtId="0" fontId="0" fillId="0" borderId="2" xfId="0" applyFill="1" applyBorder="1"/>
    <xf numFmtId="3" fontId="0" fillId="0" borderId="2" xfId="0" applyNumberFormat="1" applyFill="1" applyBorder="1"/>
    <xf numFmtId="0" fontId="0" fillId="0" borderId="5" xfId="0" applyBorder="1"/>
    <xf numFmtId="3" fontId="2" fillId="0" borderId="8" xfId="0" applyNumberFormat="1" applyFont="1" applyBorder="1"/>
    <xf numFmtId="0" fontId="0" fillId="7" borderId="4" xfId="0" applyFont="1" applyFill="1" applyBorder="1"/>
    <xf numFmtId="0" fontId="0" fillId="7" borderId="0" xfId="0" applyFont="1" applyFill="1" applyBorder="1"/>
    <xf numFmtId="0" fontId="2" fillId="7" borderId="0" xfId="0" applyFont="1" applyFill="1" applyBorder="1" applyAlignment="1">
      <alignment horizontal="center" wrapText="1"/>
    </xf>
    <xf numFmtId="0" fontId="2" fillId="7" borderId="5" xfId="0" applyFont="1" applyFill="1" applyBorder="1" applyAlignment="1">
      <alignment horizontal="center" wrapText="1"/>
    </xf>
    <xf numFmtId="0" fontId="2" fillId="7" borderId="0" xfId="0" applyFont="1" applyFill="1" applyBorder="1" applyAlignment="1">
      <alignment horizontal="center" wrapText="1"/>
    </xf>
    <xf numFmtId="0" fontId="2" fillId="7" borderId="5" xfId="0" applyFont="1" applyFill="1" applyBorder="1" applyAlignment="1">
      <alignment horizontal="center" wrapText="1"/>
    </xf>
    <xf numFmtId="0" fontId="0" fillId="11" borderId="4" xfId="0" applyFill="1" applyBorder="1" applyAlignment="1">
      <alignment horizontal="left"/>
    </xf>
    <xf numFmtId="0" fontId="0" fillId="11" borderId="0" xfId="0" applyFill="1" applyBorder="1" applyAlignment="1">
      <alignment horizontal="left"/>
    </xf>
    <xf numFmtId="0" fontId="0" fillId="11" borderId="5" xfId="0" applyFill="1" applyBorder="1" applyAlignment="1">
      <alignment horizontal="left"/>
    </xf>
    <xf numFmtId="0" fontId="0" fillId="7" borderId="1" xfId="0" applyFont="1" applyFill="1" applyBorder="1"/>
    <xf numFmtId="0" fontId="0" fillId="7" borderId="2" xfId="0" applyFont="1" applyFill="1" applyBorder="1"/>
    <xf numFmtId="14" fontId="0" fillId="7" borderId="2" xfId="0" applyNumberFormat="1" applyFont="1" applyFill="1" applyBorder="1"/>
    <xf numFmtId="0" fontId="0" fillId="12" borderId="0" xfId="0" applyFill="1" applyBorder="1" applyAlignment="1">
      <alignment wrapText="1"/>
    </xf>
    <xf numFmtId="0" fontId="0" fillId="16" borderId="4" xfId="0" applyFill="1" applyBorder="1" applyAlignment="1">
      <alignment wrapText="1"/>
    </xf>
    <xf numFmtId="17" fontId="0" fillId="0" borderId="7" xfId="0" applyNumberFormat="1" applyBorder="1"/>
    <xf numFmtId="3" fontId="0" fillId="0" borderId="7" xfId="0" applyNumberFormat="1" applyBorder="1"/>
    <xf numFmtId="3" fontId="0" fillId="0" borderId="8" xfId="0" applyNumberFormat="1" applyBorder="1"/>
    <xf numFmtId="0" fontId="2" fillId="7" borderId="0" xfId="0" applyFont="1" applyFill="1" applyBorder="1" applyAlignment="1">
      <alignment horizontal="center" wrapText="1"/>
    </xf>
    <xf numFmtId="0" fontId="0" fillId="7" borderId="4" xfId="0" applyFill="1" applyBorder="1"/>
    <xf numFmtId="0" fontId="0" fillId="7" borderId="4" xfId="0" quotePrefix="1" applyFont="1" applyFill="1" applyBorder="1"/>
    <xf numFmtId="14" fontId="0" fillId="7" borderId="0" xfId="0" applyNumberFormat="1" applyFont="1" applyFill="1" applyBorder="1"/>
    <xf numFmtId="0" fontId="0" fillId="7" borderId="6" xfId="0" applyFont="1" applyFill="1" applyBorder="1"/>
    <xf numFmtId="0" fontId="0" fillId="7" borderId="7" xfId="0" applyFont="1" applyFill="1" applyBorder="1"/>
    <xf numFmtId="15" fontId="0" fillId="7" borderId="2" xfId="0" applyNumberFormat="1" applyFont="1" applyFill="1" applyBorder="1"/>
    <xf numFmtId="0" fontId="0" fillId="7" borderId="12" xfId="0" applyFont="1" applyFill="1" applyBorder="1"/>
    <xf numFmtId="0" fontId="2" fillId="7" borderId="0" xfId="0" applyFont="1" applyFill="1" applyBorder="1" applyAlignment="1">
      <alignment horizontal="center" wrapText="1"/>
    </xf>
    <xf numFmtId="0" fontId="2" fillId="7" borderId="5" xfId="0" applyFont="1" applyFill="1" applyBorder="1" applyAlignment="1">
      <alignment horizontal="center" wrapText="1"/>
    </xf>
    <xf numFmtId="0" fontId="0" fillId="7" borderId="0" xfId="0" applyFont="1" applyFill="1" applyBorder="1" applyAlignment="1">
      <alignment horizontal="right" wrapText="1"/>
    </xf>
    <xf numFmtId="0" fontId="0" fillId="7" borderId="0" xfId="0" applyFont="1" applyFill="1" applyBorder="1" applyAlignment="1">
      <alignment horizontal="left" wrapText="1"/>
    </xf>
    <xf numFmtId="0" fontId="2" fillId="0" borderId="5" xfId="0" applyFont="1" applyBorder="1" applyAlignment="1">
      <alignment wrapText="1"/>
    </xf>
    <xf numFmtId="0" fontId="2" fillId="7" borderId="0" xfId="0" applyFont="1" applyFill="1" applyBorder="1" applyAlignment="1">
      <alignment wrapText="1"/>
    </xf>
    <xf numFmtId="0" fontId="2" fillId="7" borderId="5" xfId="0" applyFont="1" applyFill="1" applyBorder="1" applyAlignment="1">
      <alignment wrapText="1"/>
    </xf>
    <xf numFmtId="3" fontId="3" fillId="0" borderId="0" xfId="0" applyNumberFormat="1" applyFont="1"/>
    <xf numFmtId="3" fontId="2" fillId="0" borderId="0" xfId="0" applyNumberFormat="1" applyFont="1"/>
    <xf numFmtId="3" fontId="4" fillId="0" borderId="0" xfId="0" applyNumberFormat="1" applyFont="1"/>
    <xf numFmtId="0" fontId="2" fillId="14" borderId="1" xfId="0" applyFont="1" applyFill="1" applyBorder="1"/>
    <xf numFmtId="0" fontId="2" fillId="14" borderId="2" xfId="0" applyFont="1" applyFill="1" applyBorder="1"/>
    <xf numFmtId="0" fontId="2" fillId="14" borderId="2" xfId="0" applyFont="1" applyFill="1" applyBorder="1" applyAlignment="1">
      <alignment wrapText="1"/>
    </xf>
    <xf numFmtId="0" fontId="2" fillId="14" borderId="3" xfId="0" applyFont="1" applyFill="1" applyBorder="1" applyAlignment="1">
      <alignment wrapText="1"/>
    </xf>
    <xf numFmtId="17" fontId="2" fillId="0" borderId="0" xfId="0" applyNumberFormat="1" applyFont="1" applyBorder="1"/>
    <xf numFmtId="0" fontId="0" fillId="7" borderId="0" xfId="0" applyFont="1" applyFill="1" applyBorder="1" applyAlignment="1">
      <alignment horizontal="left"/>
    </xf>
    <xf numFmtId="0" fontId="0" fillId="7" borderId="0" xfId="0" applyFont="1" applyFill="1" applyBorder="1" applyAlignment="1">
      <alignment horizontal="center" wrapText="1"/>
    </xf>
    <xf numFmtId="0" fontId="0" fillId="7" borderId="5" xfId="0" applyFont="1" applyFill="1" applyBorder="1" applyAlignment="1">
      <alignment horizontal="center" wrapText="1"/>
    </xf>
    <xf numFmtId="3" fontId="0" fillId="7" borderId="5" xfId="0" applyNumberFormat="1" applyFont="1" applyFill="1" applyBorder="1" applyAlignment="1">
      <alignment horizontal="right" wrapText="1"/>
    </xf>
    <xf numFmtId="3" fontId="0" fillId="7" borderId="5" xfId="0" applyNumberFormat="1" applyFont="1" applyFill="1" applyBorder="1"/>
    <xf numFmtId="0" fontId="0" fillId="0" borderId="0" xfId="0" applyAlignment="1">
      <alignment horizontal="right"/>
    </xf>
    <xf numFmtId="0" fontId="2" fillId="7" borderId="10" xfId="0" applyFont="1" applyFill="1" applyBorder="1" applyAlignment="1">
      <alignment horizontal="right" wrapText="1"/>
    </xf>
    <xf numFmtId="0" fontId="2" fillId="7" borderId="0" xfId="0" applyFont="1" applyFill="1" applyBorder="1" applyAlignment="1">
      <alignment horizontal="right" wrapText="1"/>
    </xf>
    <xf numFmtId="0" fontId="3" fillId="7" borderId="0" xfId="0" applyFont="1" applyFill="1" applyBorder="1" applyAlignment="1">
      <alignment horizontal="right"/>
    </xf>
    <xf numFmtId="0" fontId="0" fillId="7" borderId="0" xfId="0" applyFill="1" applyBorder="1" applyAlignment="1">
      <alignment horizontal="right"/>
    </xf>
    <xf numFmtId="0" fontId="0" fillId="7" borderId="0" xfId="0" applyFont="1" applyFill="1" applyBorder="1" applyAlignment="1">
      <alignment horizontal="right"/>
    </xf>
    <xf numFmtId="0" fontId="0" fillId="7" borderId="2" xfId="0" applyFill="1" applyBorder="1" applyAlignment="1">
      <alignment horizontal="right"/>
    </xf>
    <xf numFmtId="0" fontId="0" fillId="0" borderId="0" xfId="0" applyAlignment="1">
      <alignment horizontal="left"/>
    </xf>
    <xf numFmtId="0" fontId="2" fillId="0" borderId="0" xfId="0" applyFont="1" applyAlignment="1">
      <alignment horizontal="left"/>
    </xf>
    <xf numFmtId="0" fontId="0" fillId="7" borderId="2" xfId="0" applyFont="1" applyFill="1" applyBorder="1" applyAlignment="1">
      <alignment horizontal="right" wrapText="1"/>
    </xf>
    <xf numFmtId="3" fontId="0" fillId="7" borderId="3" xfId="0" applyNumberFormat="1" applyFont="1" applyFill="1" applyBorder="1"/>
    <xf numFmtId="0" fontId="2" fillId="0" borderId="3" xfId="0" applyFont="1" applyBorder="1" applyAlignment="1">
      <alignment horizontal="center"/>
    </xf>
    <xf numFmtId="0" fontId="0" fillId="7" borderId="7" xfId="0" applyFont="1" applyFill="1" applyBorder="1" applyAlignment="1">
      <alignment horizontal="right"/>
    </xf>
    <xf numFmtId="3" fontId="0" fillId="7" borderId="8" xfId="0" applyNumberFormat="1" applyFont="1" applyFill="1" applyBorder="1"/>
    <xf numFmtId="14" fontId="0" fillId="7" borderId="0" xfId="0" applyNumberFormat="1" applyFont="1" applyFill="1" applyBorder="1" applyAlignment="1">
      <alignment horizontal="center" wrapText="1"/>
    </xf>
    <xf numFmtId="0" fontId="0" fillId="0" borderId="0" xfId="0" applyFont="1" applyAlignment="1"/>
    <xf numFmtId="3" fontId="0" fillId="0" borderId="0" xfId="0" applyNumberFormat="1" applyFont="1" applyAlignment="1"/>
    <xf numFmtId="0" fontId="0" fillId="17" borderId="4" xfId="0" applyFill="1" applyBorder="1"/>
    <xf numFmtId="17" fontId="0" fillId="17" borderId="0" xfId="0" applyNumberFormat="1" applyFill="1" applyBorder="1"/>
    <xf numFmtId="3" fontId="0" fillId="17" borderId="0" xfId="0" applyNumberFormat="1" applyFill="1" applyBorder="1"/>
    <xf numFmtId="3" fontId="2" fillId="17" borderId="0" xfId="0" applyNumberFormat="1" applyFont="1" applyFill="1" applyBorder="1"/>
    <xf numFmtId="3" fontId="0" fillId="17" borderId="5" xfId="0" applyNumberFormat="1" applyFill="1" applyBorder="1"/>
    <xf numFmtId="3" fontId="2" fillId="17" borderId="5" xfId="0" applyNumberFormat="1" applyFont="1" applyFill="1" applyBorder="1"/>
    <xf numFmtId="0" fontId="0" fillId="7" borderId="2" xfId="0" applyFont="1" applyFill="1" applyBorder="1" applyAlignment="1">
      <alignment horizontal="left"/>
    </xf>
    <xf numFmtId="0" fontId="0" fillId="0" borderId="0" xfId="0" applyFill="1" applyBorder="1"/>
    <xf numFmtId="3" fontId="2" fillId="0" borderId="0" xfId="0" applyNumberFormat="1" applyFont="1" applyFill="1" applyBorder="1"/>
    <xf numFmtId="0" fontId="0" fillId="0" borderId="0" xfId="0" applyFill="1"/>
    <xf numFmtId="0" fontId="0" fillId="0" borderId="0" xfId="0" applyFont="1" applyFill="1" applyBorder="1"/>
    <xf numFmtId="0" fontId="0" fillId="0" borderId="0" xfId="0" applyFont="1" applyFill="1"/>
    <xf numFmtId="0" fontId="0" fillId="12" borderId="0" xfId="0" applyFont="1" applyFill="1" applyBorder="1" applyAlignment="1"/>
    <xf numFmtId="0" fontId="2" fillId="12" borderId="0" xfId="0" applyFont="1" applyFill="1" applyBorder="1" applyAlignment="1"/>
    <xf numFmtId="17" fontId="0" fillId="0" borderId="2" xfId="0" applyNumberFormat="1" applyBorder="1"/>
    <xf numFmtId="3" fontId="0" fillId="0" borderId="2" xfId="0" applyNumberFormat="1" applyBorder="1"/>
    <xf numFmtId="3" fontId="0" fillId="0" borderId="4" xfId="0" applyNumberFormat="1" applyBorder="1"/>
    <xf numFmtId="0" fontId="0" fillId="7" borderId="6" xfId="0" applyFont="1" applyFill="1" applyBorder="1" applyAlignment="1">
      <alignment horizontal="left"/>
    </xf>
    <xf numFmtId="0" fontId="0" fillId="7" borderId="7" xfId="0" applyFont="1" applyFill="1" applyBorder="1" applyAlignment="1">
      <alignment horizontal="left"/>
    </xf>
    <xf numFmtId="0" fontId="0" fillId="7" borderId="8" xfId="0" applyFont="1" applyFill="1" applyBorder="1" applyAlignment="1">
      <alignment horizontal="left"/>
    </xf>
    <xf numFmtId="0" fontId="2" fillId="0" borderId="0" xfId="0" applyFont="1" applyFill="1" applyBorder="1"/>
    <xf numFmtId="0" fontId="0" fillId="0" borderId="2" xfId="0" applyFont="1" applyFill="1" applyBorder="1"/>
    <xf numFmtId="0" fontId="0" fillId="12" borderId="0" xfId="0" applyFont="1" applyFill="1" applyBorder="1" applyAlignment="1">
      <alignment wrapText="1"/>
    </xf>
    <xf numFmtId="0" fontId="0" fillId="15" borderId="4" xfId="0" applyFill="1" applyBorder="1" applyAlignment="1">
      <alignment horizontal="left" wrapText="1"/>
    </xf>
    <xf numFmtId="0" fontId="0" fillId="15" borderId="0" xfId="0" applyFill="1" applyBorder="1" applyAlignment="1">
      <alignment horizontal="left"/>
    </xf>
    <xf numFmtId="0" fontId="0" fillId="15" borderId="5" xfId="0" applyFill="1" applyBorder="1" applyAlignment="1">
      <alignment horizontal="left"/>
    </xf>
    <xf numFmtId="0" fontId="2" fillId="15" borderId="4" xfId="0" applyFont="1" applyFill="1" applyBorder="1" applyAlignment="1">
      <alignment horizontal="left" wrapText="1"/>
    </xf>
    <xf numFmtId="0" fontId="2" fillId="15" borderId="0" xfId="0" applyFont="1" applyFill="1" applyBorder="1" applyAlignment="1">
      <alignment horizontal="left" wrapText="1"/>
    </xf>
    <xf numFmtId="0" fontId="2" fillId="15" borderId="5" xfId="0" applyFont="1" applyFill="1" applyBorder="1" applyAlignment="1">
      <alignment horizontal="left" wrapText="1"/>
    </xf>
    <xf numFmtId="0" fontId="2" fillId="0" borderId="0" xfId="0" applyFont="1" applyAlignment="1">
      <alignment horizontal="center"/>
    </xf>
    <xf numFmtId="0" fontId="0" fillId="0" borderId="1" xfId="0" applyBorder="1"/>
    <xf numFmtId="3" fontId="0" fillId="0" borderId="3" xfId="0" applyNumberFormat="1" applyBorder="1"/>
    <xf numFmtId="0" fontId="1" fillId="0" borderId="0" xfId="0" applyFont="1"/>
    <xf numFmtId="0" fontId="0" fillId="0" borderId="0" xfId="0" applyAlignment="1">
      <alignment wrapText="1"/>
    </xf>
    <xf numFmtId="17" fontId="0" fillId="0" borderId="0" xfId="0" applyNumberFormat="1" applyBorder="1" applyAlignment="1">
      <alignment wrapText="1"/>
    </xf>
    <xf numFmtId="17" fontId="0" fillId="0" borderId="7" xfId="0" applyNumberFormat="1" applyBorder="1" applyAlignment="1">
      <alignment wrapText="1"/>
    </xf>
    <xf numFmtId="0" fontId="0" fillId="0" borderId="7" xfId="0" applyBorder="1" applyAlignment="1">
      <alignment wrapText="1"/>
    </xf>
    <xf numFmtId="0" fontId="0" fillId="0" borderId="0" xfId="0" applyBorder="1" applyAlignment="1">
      <alignment wrapText="1"/>
    </xf>
    <xf numFmtId="2" fontId="0" fillId="0" borderId="0" xfId="0" applyNumberFormat="1" applyBorder="1" applyAlignment="1">
      <alignment wrapText="1"/>
    </xf>
    <xf numFmtId="2" fontId="0" fillId="0" borderId="2" xfId="0" applyNumberFormat="1" applyBorder="1" applyAlignment="1">
      <alignment wrapText="1"/>
    </xf>
    <xf numFmtId="0" fontId="0" fillId="0" borderId="4" xfId="0" applyFont="1" applyBorder="1"/>
    <xf numFmtId="17" fontId="0" fillId="0" borderId="0" xfId="0" applyNumberFormat="1" applyFont="1" applyBorder="1"/>
    <xf numFmtId="3" fontId="0" fillId="0" borderId="0" xfId="0" applyNumberFormat="1" applyFont="1" applyBorder="1"/>
    <xf numFmtId="0" fontId="0" fillId="0" borderId="0" xfId="0" applyFont="1" applyBorder="1"/>
    <xf numFmtId="0" fontId="0" fillId="0" borderId="0" xfId="0" applyFont="1"/>
    <xf numFmtId="3" fontId="0" fillId="0" borderId="0" xfId="0" applyNumberFormat="1" applyFont="1"/>
    <xf numFmtId="0" fontId="0" fillId="7" borderId="4" xfId="0" applyFont="1" applyFill="1" applyBorder="1" applyAlignment="1"/>
    <xf numFmtId="0" fontId="0" fillId="7" borderId="1" xfId="0" applyFont="1" applyFill="1" applyBorder="1" applyAlignment="1"/>
    <xf numFmtId="0" fontId="0" fillId="7" borderId="2" xfId="0" applyFont="1" applyFill="1" applyBorder="1" applyAlignment="1">
      <alignment horizontal="center" wrapText="1"/>
    </xf>
    <xf numFmtId="0" fontId="3" fillId="7" borderId="2" xfId="0" applyFont="1" applyFill="1" applyBorder="1"/>
    <xf numFmtId="0" fontId="3" fillId="7" borderId="2" xfId="0" applyFont="1" applyFill="1" applyBorder="1" applyAlignment="1">
      <alignment horizontal="right"/>
    </xf>
    <xf numFmtId="0" fontId="0" fillId="7" borderId="0" xfId="0" applyFill="1" applyBorder="1" applyAlignment="1">
      <alignment horizontal="left"/>
    </xf>
    <xf numFmtId="3" fontId="0" fillId="0" borderId="5" xfId="0" applyNumberFormat="1" applyFont="1" applyBorder="1"/>
    <xf numFmtId="0" fontId="0" fillId="0" borderId="12" xfId="0" applyBorder="1"/>
    <xf numFmtId="0" fontId="3" fillId="7" borderId="0" xfId="0" applyFont="1" applyFill="1" applyBorder="1" applyAlignment="1">
      <alignment horizontal="right" wrapText="1"/>
    </xf>
    <xf numFmtId="0" fontId="10" fillId="7" borderId="0" xfId="0" applyFont="1" applyFill="1" applyBorder="1"/>
    <xf numFmtId="3" fontId="2" fillId="18" borderId="0" xfId="0" applyNumberFormat="1" applyFont="1" applyFill="1" applyBorder="1"/>
    <xf numFmtId="3" fontId="2" fillId="16" borderId="0" xfId="0" applyNumberFormat="1" applyFont="1" applyFill="1" applyBorder="1"/>
    <xf numFmtId="3" fontId="2" fillId="19" borderId="0" xfId="0" applyNumberFormat="1" applyFont="1" applyFill="1" applyBorder="1"/>
    <xf numFmtId="3" fontId="2" fillId="19" borderId="5" xfId="0" applyNumberFormat="1" applyFont="1" applyFill="1" applyBorder="1"/>
    <xf numFmtId="3" fontId="0" fillId="19" borderId="0" xfId="0" applyNumberFormat="1" applyFill="1" applyBorder="1"/>
    <xf numFmtId="3" fontId="0" fillId="19" borderId="5" xfId="0" applyNumberFormat="1" applyFill="1" applyBorder="1"/>
    <xf numFmtId="0" fontId="0" fillId="7" borderId="0" xfId="0" applyFill="1"/>
    <xf numFmtId="0" fontId="1" fillId="7" borderId="0" xfId="0" applyFont="1" applyFill="1" applyBorder="1"/>
    <xf numFmtId="3" fontId="1" fillId="7" borderId="5" xfId="0" applyNumberFormat="1" applyFont="1" applyFill="1" applyBorder="1"/>
    <xf numFmtId="0" fontId="2" fillId="0" borderId="0" xfId="0" applyFont="1" applyAlignment="1">
      <alignment horizontal="center"/>
    </xf>
    <xf numFmtId="0" fontId="0" fillId="14" borderId="4" xfId="0" applyFill="1" applyBorder="1" applyAlignment="1">
      <alignment horizontal="left"/>
    </xf>
    <xf numFmtId="0" fontId="0" fillId="14" borderId="0" xfId="0" applyFill="1" applyBorder="1" applyAlignment="1">
      <alignment horizontal="left"/>
    </xf>
    <xf numFmtId="0" fontId="0" fillId="14" borderId="5" xfId="0" applyFill="1" applyBorder="1" applyAlignment="1">
      <alignment horizontal="left"/>
    </xf>
    <xf numFmtId="0" fontId="2" fillId="7" borderId="0" xfId="0" applyFont="1" applyFill="1" applyBorder="1" applyAlignment="1">
      <alignment horizontal="center" wrapText="1"/>
    </xf>
    <xf numFmtId="0" fontId="2" fillId="7" borderId="5" xfId="0" applyFont="1" applyFill="1" applyBorder="1" applyAlignment="1">
      <alignment horizontal="center" wrapText="1"/>
    </xf>
    <xf numFmtId="0" fontId="0" fillId="0" borderId="4" xfId="0" applyFill="1" applyBorder="1"/>
    <xf numFmtId="17" fontId="0" fillId="0" borderId="0" xfId="0" applyNumberFormat="1" applyFill="1" applyBorder="1"/>
    <xf numFmtId="0" fontId="3" fillId="7" borderId="4" xfId="0" applyFont="1" applyFill="1" applyBorder="1"/>
    <xf numFmtId="14" fontId="3" fillId="7" borderId="0" xfId="0" applyNumberFormat="1" applyFont="1" applyFill="1" applyBorder="1"/>
    <xf numFmtId="3" fontId="0" fillId="7" borderId="0" xfId="0" applyNumberFormat="1" applyFont="1" applyFill="1" applyBorder="1" applyAlignment="1">
      <alignment horizontal="right" wrapText="1"/>
    </xf>
    <xf numFmtId="3" fontId="0" fillId="7" borderId="0" xfId="0" applyNumberFormat="1" applyFont="1" applyFill="1" applyBorder="1"/>
    <xf numFmtId="0" fontId="1" fillId="0" borderId="4" xfId="0" applyFont="1" applyBorder="1"/>
    <xf numFmtId="17" fontId="1" fillId="0" borderId="0" xfId="0" applyNumberFormat="1" applyFont="1" applyBorder="1"/>
    <xf numFmtId="3" fontId="1" fillId="0" borderId="0" xfId="0" applyNumberFormat="1" applyFont="1" applyBorder="1"/>
    <xf numFmtId="3" fontId="10" fillId="0" borderId="0" xfId="0" applyNumberFormat="1" applyFont="1" applyBorder="1"/>
    <xf numFmtId="3" fontId="1" fillId="0" borderId="5" xfId="0" applyNumberFormat="1" applyFont="1" applyBorder="1"/>
    <xf numFmtId="0" fontId="1" fillId="0" borderId="0" xfId="0" applyFont="1" applyBorder="1"/>
    <xf numFmtId="0" fontId="10" fillId="7" borderId="4" xfId="0" applyFont="1" applyFill="1" applyBorder="1"/>
    <xf numFmtId="0" fontId="1" fillId="7" borderId="0" xfId="0" applyFont="1" applyFill="1" applyBorder="1" applyAlignment="1">
      <alignment horizontal="right"/>
    </xf>
    <xf numFmtId="3" fontId="1" fillId="0" borderId="0" xfId="0" applyNumberFormat="1" applyFont="1"/>
    <xf numFmtId="14" fontId="1" fillId="7" borderId="0" xfId="0" applyNumberFormat="1" applyFont="1" applyFill="1" applyBorder="1" applyAlignment="1">
      <alignment horizontal="center" wrapText="1"/>
    </xf>
    <xf numFmtId="0" fontId="1" fillId="7" borderId="0" xfId="0" applyFont="1" applyFill="1" applyBorder="1" applyAlignment="1">
      <alignment horizontal="center" wrapText="1"/>
    </xf>
    <xf numFmtId="0" fontId="1" fillId="7" borderId="0" xfId="0" applyFont="1" applyFill="1" applyBorder="1" applyAlignment="1">
      <alignment horizontal="right" wrapText="1"/>
    </xf>
    <xf numFmtId="0" fontId="1" fillId="7" borderId="0" xfId="0" applyFont="1" applyFill="1" applyBorder="1" applyAlignment="1">
      <alignment horizontal="left" wrapText="1"/>
    </xf>
    <xf numFmtId="3" fontId="1" fillId="7" borderId="0" xfId="0" applyNumberFormat="1" applyFont="1" applyFill="1" applyBorder="1" applyAlignment="1">
      <alignment horizontal="right" wrapText="1"/>
    </xf>
    <xf numFmtId="14" fontId="2" fillId="0" borderId="0" xfId="0" applyNumberFormat="1" applyFont="1"/>
    <xf numFmtId="3" fontId="1" fillId="7" borderId="0" xfId="0" applyNumberFormat="1" applyFont="1" applyFill="1" applyBorder="1"/>
    <xf numFmtId="3" fontId="2" fillId="0" borderId="5" xfId="0" applyNumberFormat="1" applyFont="1" applyFill="1" applyBorder="1"/>
    <xf numFmtId="3" fontId="0" fillId="0" borderId="0" xfId="0" applyNumberFormat="1" applyFont="1" applyFill="1" applyBorder="1"/>
    <xf numFmtId="3" fontId="0" fillId="0" borderId="5" xfId="0" applyNumberFormat="1" applyFont="1" applyFill="1" applyBorder="1"/>
    <xf numFmtId="0" fontId="0" fillId="0" borderId="5" xfId="0" applyFont="1" applyBorder="1"/>
    <xf numFmtId="14" fontId="0" fillId="0" borderId="0" xfId="0" applyNumberFormat="1"/>
    <xf numFmtId="0" fontId="9" fillId="11" borderId="1" xfId="0" applyFont="1" applyFill="1" applyBorder="1" applyAlignment="1">
      <alignment horizontal="left" wrapText="1"/>
    </xf>
    <xf numFmtId="0" fontId="9" fillId="11" borderId="2" xfId="0" applyFont="1" applyFill="1" applyBorder="1" applyAlignment="1">
      <alignment horizontal="left" wrapText="1"/>
    </xf>
    <xf numFmtId="0" fontId="9" fillId="11" borderId="3" xfId="0" applyFont="1" applyFill="1" applyBorder="1" applyAlignment="1">
      <alignment horizontal="left" wrapText="1"/>
    </xf>
    <xf numFmtId="0" fontId="4" fillId="12" borderId="1" xfId="0" applyFont="1" applyFill="1" applyBorder="1" applyAlignment="1">
      <alignment horizontal="left"/>
    </xf>
    <xf numFmtId="0" fontId="4" fillId="12" borderId="2" xfId="0" applyFont="1" applyFill="1" applyBorder="1" applyAlignment="1">
      <alignment horizontal="left"/>
    </xf>
    <xf numFmtId="0" fontId="4" fillId="12" borderId="3" xfId="0" applyFont="1" applyFill="1" applyBorder="1" applyAlignment="1">
      <alignment horizontal="left"/>
    </xf>
    <xf numFmtId="0" fontId="3" fillId="11" borderId="4" xfId="0" applyFont="1" applyFill="1" applyBorder="1" applyAlignment="1">
      <alignment horizontal="left" wrapText="1"/>
    </xf>
    <xf numFmtId="0" fontId="3" fillId="11" borderId="0" xfId="0" applyFont="1" applyFill="1" applyBorder="1" applyAlignment="1">
      <alignment horizontal="left" wrapText="1"/>
    </xf>
    <xf numFmtId="0" fontId="3" fillId="11" borderId="5" xfId="0" applyFont="1" applyFill="1" applyBorder="1" applyAlignment="1">
      <alignment horizontal="left" wrapText="1"/>
    </xf>
    <xf numFmtId="0" fontId="2" fillId="0" borderId="9" xfId="0" applyFont="1" applyBorder="1" applyAlignment="1">
      <alignment horizontal="center"/>
    </xf>
    <xf numFmtId="0" fontId="2" fillId="0" borderId="10" xfId="0" applyFont="1" applyBorder="1" applyAlignment="1">
      <alignment horizontal="center"/>
    </xf>
    <xf numFmtId="0" fontId="2" fillId="0" borderId="11" xfId="0" applyFont="1" applyBorder="1" applyAlignment="1">
      <alignment horizontal="center"/>
    </xf>
    <xf numFmtId="0" fontId="3" fillId="12" borderId="4" xfId="0" applyFont="1" applyFill="1" applyBorder="1" applyAlignment="1">
      <alignment horizontal="left"/>
    </xf>
    <xf numFmtId="0" fontId="3" fillId="12" borderId="0" xfId="0" applyFont="1" applyFill="1" applyBorder="1" applyAlignment="1">
      <alignment horizontal="left"/>
    </xf>
    <xf numFmtId="0" fontId="3" fillId="12" borderId="5" xfId="0" applyFont="1" applyFill="1" applyBorder="1" applyAlignment="1">
      <alignment horizontal="left"/>
    </xf>
    <xf numFmtId="0" fontId="0" fillId="0" borderId="0" xfId="0" applyAlignment="1">
      <alignment horizontal="center"/>
    </xf>
    <xf numFmtId="0" fontId="4" fillId="12" borderId="6" xfId="0" applyFont="1" applyFill="1" applyBorder="1" applyAlignment="1">
      <alignment horizontal="left"/>
    </xf>
    <xf numFmtId="0" fontId="4" fillId="12" borderId="7" xfId="0" applyFont="1" applyFill="1" applyBorder="1" applyAlignment="1">
      <alignment horizontal="left"/>
    </xf>
    <xf numFmtId="0" fontId="4" fillId="12" borderId="8" xfId="0" applyFont="1" applyFill="1" applyBorder="1" applyAlignment="1">
      <alignment horizontal="left"/>
    </xf>
    <xf numFmtId="0" fontId="0" fillId="12" borderId="4" xfId="0" applyFill="1" applyBorder="1" applyAlignment="1">
      <alignment horizontal="left" wrapText="1"/>
    </xf>
    <xf numFmtId="0" fontId="0" fillId="12" borderId="0" xfId="0" applyFill="1" applyBorder="1" applyAlignment="1">
      <alignment horizontal="left"/>
    </xf>
    <xf numFmtId="0" fontId="0" fillId="12" borderId="5" xfId="0" applyFill="1" applyBorder="1" applyAlignment="1">
      <alignment horizontal="left"/>
    </xf>
    <xf numFmtId="0" fontId="0" fillId="12" borderId="0" xfId="0" applyFill="1" applyBorder="1" applyAlignment="1">
      <alignment horizontal="left" wrapText="1"/>
    </xf>
    <xf numFmtId="0" fontId="0" fillId="12" borderId="5" xfId="0" applyFill="1" applyBorder="1" applyAlignment="1">
      <alignment horizontal="left" wrapText="1"/>
    </xf>
    <xf numFmtId="0" fontId="2" fillId="12" borderId="4" xfId="0" applyFont="1" applyFill="1" applyBorder="1" applyAlignment="1">
      <alignment horizontal="left" wrapText="1"/>
    </xf>
    <xf numFmtId="0" fontId="2" fillId="12" borderId="0" xfId="0" applyFont="1" applyFill="1" applyBorder="1" applyAlignment="1">
      <alignment horizontal="left"/>
    </xf>
    <xf numFmtId="0" fontId="2" fillId="12" borderId="5" xfId="0" applyFont="1" applyFill="1" applyBorder="1" applyAlignment="1">
      <alignment horizontal="left"/>
    </xf>
    <xf numFmtId="0" fontId="2" fillId="7" borderId="1" xfId="0" applyFont="1" applyFill="1" applyBorder="1" applyAlignment="1">
      <alignment horizontal="center" wrapText="1"/>
    </xf>
    <xf numFmtId="0" fontId="2" fillId="7" borderId="2" xfId="0" applyFont="1" applyFill="1" applyBorder="1" applyAlignment="1">
      <alignment horizontal="center" wrapText="1"/>
    </xf>
    <xf numFmtId="0" fontId="2" fillId="7" borderId="3" xfId="0" applyFont="1" applyFill="1" applyBorder="1" applyAlignment="1">
      <alignment horizontal="center" wrapText="1"/>
    </xf>
    <xf numFmtId="0" fontId="3" fillId="11" borderId="6" xfId="0" applyFont="1" applyFill="1" applyBorder="1" applyAlignment="1">
      <alignment horizontal="left" wrapText="1"/>
    </xf>
    <xf numFmtId="0" fontId="3" fillId="11" borderId="7" xfId="0" applyFont="1" applyFill="1" applyBorder="1" applyAlignment="1">
      <alignment horizontal="left" wrapText="1"/>
    </xf>
    <xf numFmtId="0" fontId="3" fillId="11" borderId="8" xfId="0" applyFont="1" applyFill="1" applyBorder="1" applyAlignment="1">
      <alignment horizontal="left" wrapText="1"/>
    </xf>
    <xf numFmtId="0" fontId="4" fillId="12" borderId="4" xfId="0" applyFont="1" applyFill="1" applyBorder="1" applyAlignment="1">
      <alignment horizontal="left"/>
    </xf>
    <xf numFmtId="0" fontId="4" fillId="12" borderId="0" xfId="0" applyFont="1" applyFill="1" applyBorder="1" applyAlignment="1">
      <alignment horizontal="left"/>
    </xf>
    <xf numFmtId="0" fontId="4" fillId="12" borderId="5" xfId="0" applyFont="1" applyFill="1" applyBorder="1" applyAlignment="1">
      <alignment horizontal="left"/>
    </xf>
    <xf numFmtId="0" fontId="4" fillId="12" borderId="4" xfId="0" applyFont="1" applyFill="1" applyBorder="1" applyAlignment="1">
      <alignment horizontal="center"/>
    </xf>
    <xf numFmtId="0" fontId="4" fillId="12" borderId="0" xfId="0" applyFont="1" applyFill="1" applyBorder="1" applyAlignment="1">
      <alignment horizontal="center"/>
    </xf>
    <xf numFmtId="0" fontId="4" fillId="12" borderId="5" xfId="0" applyFont="1" applyFill="1" applyBorder="1" applyAlignment="1">
      <alignment horizontal="center"/>
    </xf>
    <xf numFmtId="0" fontId="0" fillId="12" borderId="6" xfId="0" applyFill="1" applyBorder="1" applyAlignment="1">
      <alignment horizontal="left" wrapText="1"/>
    </xf>
    <xf numFmtId="0" fontId="0" fillId="12" borderId="7" xfId="0" applyFill="1" applyBorder="1" applyAlignment="1">
      <alignment horizontal="left" wrapText="1"/>
    </xf>
    <xf numFmtId="0" fontId="0" fillId="12" borderId="8" xfId="0" applyFill="1" applyBorder="1" applyAlignment="1">
      <alignment horizontal="left" wrapText="1"/>
    </xf>
    <xf numFmtId="0" fontId="0" fillId="12" borderId="4" xfId="0" applyFont="1" applyFill="1" applyBorder="1" applyAlignment="1">
      <alignment horizontal="left" wrapText="1"/>
    </xf>
    <xf numFmtId="0" fontId="0" fillId="12" borderId="0" xfId="0" applyFont="1" applyFill="1" applyBorder="1" applyAlignment="1">
      <alignment horizontal="left" wrapText="1"/>
    </xf>
    <xf numFmtId="0" fontId="0" fillId="12" borderId="5" xfId="0" applyFont="1" applyFill="1" applyBorder="1" applyAlignment="1">
      <alignment horizontal="left" wrapText="1"/>
    </xf>
    <xf numFmtId="0" fontId="2" fillId="12" borderId="4" xfId="0" applyFont="1" applyFill="1" applyBorder="1" applyAlignment="1">
      <alignment horizontal="center" wrapText="1"/>
    </xf>
    <xf numFmtId="0" fontId="2" fillId="12" borderId="0" xfId="0" applyFont="1" applyFill="1" applyBorder="1" applyAlignment="1">
      <alignment horizontal="center" wrapText="1"/>
    </xf>
    <xf numFmtId="0" fontId="2" fillId="12" borderId="5" xfId="0" applyFont="1" applyFill="1" applyBorder="1" applyAlignment="1">
      <alignment horizontal="center" wrapText="1"/>
    </xf>
    <xf numFmtId="0" fontId="2" fillId="0" borderId="0" xfId="0" applyFont="1" applyAlignment="1">
      <alignment horizontal="center"/>
    </xf>
    <xf numFmtId="0" fontId="2" fillId="8" borderId="2" xfId="0" applyFont="1" applyFill="1" applyBorder="1" applyAlignment="1">
      <alignment horizontal="center" wrapText="1"/>
    </xf>
    <xf numFmtId="0" fontId="2" fillId="9" borderId="2" xfId="0" applyFont="1" applyFill="1" applyBorder="1" applyAlignment="1">
      <alignment horizontal="center" wrapText="1"/>
    </xf>
    <xf numFmtId="0" fontId="2" fillId="9" borderId="3" xfId="0" applyFont="1" applyFill="1" applyBorder="1" applyAlignment="1">
      <alignment horizontal="center" wrapText="1"/>
    </xf>
    <xf numFmtId="0" fontId="0" fillId="12" borderId="4" xfId="0" applyFont="1" applyFill="1" applyBorder="1" applyAlignment="1">
      <alignment wrapText="1"/>
    </xf>
    <xf numFmtId="0" fontId="0" fillId="12" borderId="0" xfId="0" applyFont="1" applyFill="1" applyBorder="1" applyAlignment="1">
      <alignment wrapText="1"/>
    </xf>
    <xf numFmtId="0" fontId="0" fillId="12" borderId="5" xfId="0" applyFont="1" applyFill="1" applyBorder="1" applyAlignment="1">
      <alignment wrapText="1"/>
    </xf>
    <xf numFmtId="0" fontId="2" fillId="12" borderId="0" xfId="0" applyFont="1" applyFill="1" applyBorder="1" applyAlignment="1">
      <alignment horizontal="left" wrapText="1"/>
    </xf>
    <xf numFmtId="0" fontId="2" fillId="12" borderId="5" xfId="0" applyFont="1" applyFill="1" applyBorder="1" applyAlignment="1">
      <alignment horizontal="left" wrapText="1"/>
    </xf>
    <xf numFmtId="0" fontId="2" fillId="12" borderId="1" xfId="0" applyFont="1" applyFill="1" applyBorder="1" applyAlignment="1">
      <alignment horizontal="left"/>
    </xf>
    <xf numFmtId="0" fontId="2" fillId="12" borderId="2" xfId="0" applyFont="1" applyFill="1" applyBorder="1" applyAlignment="1">
      <alignment horizontal="left"/>
    </xf>
    <xf numFmtId="0" fontId="2" fillId="12" borderId="3" xfId="0" applyFont="1" applyFill="1" applyBorder="1" applyAlignment="1">
      <alignment horizontal="left"/>
    </xf>
    <xf numFmtId="0" fontId="0" fillId="12" borderId="0" xfId="0" applyFont="1" applyFill="1" applyBorder="1" applyAlignment="1">
      <alignment horizontal="left"/>
    </xf>
    <xf numFmtId="0" fontId="0" fillId="12" borderId="5" xfId="0" applyFont="1" applyFill="1" applyBorder="1" applyAlignment="1">
      <alignment horizontal="left"/>
    </xf>
    <xf numFmtId="0" fontId="0" fillId="12" borderId="4" xfId="0" applyFill="1" applyBorder="1" applyAlignment="1">
      <alignment horizontal="center" wrapText="1"/>
    </xf>
    <xf numFmtId="0" fontId="0" fillId="12" borderId="0" xfId="0" applyFill="1" applyBorder="1" applyAlignment="1">
      <alignment horizontal="center" wrapText="1"/>
    </xf>
    <xf numFmtId="0" fontId="0" fillId="12" borderId="5" xfId="0" applyFill="1" applyBorder="1" applyAlignment="1">
      <alignment horizontal="center" wrapText="1"/>
    </xf>
    <xf numFmtId="0" fontId="5" fillId="13" borderId="1" xfId="0" applyFont="1" applyFill="1" applyBorder="1" applyAlignment="1">
      <alignment horizontal="left"/>
    </xf>
    <xf numFmtId="0" fontId="5" fillId="13" borderId="2" xfId="0" applyFont="1" applyFill="1" applyBorder="1" applyAlignment="1">
      <alignment horizontal="left"/>
    </xf>
    <xf numFmtId="0" fontId="5" fillId="13" borderId="3" xfId="0" applyFont="1" applyFill="1" applyBorder="1" applyAlignment="1">
      <alignment horizontal="left"/>
    </xf>
    <xf numFmtId="0" fontId="0" fillId="13" borderId="4" xfId="0" applyFill="1" applyBorder="1" applyAlignment="1">
      <alignment horizontal="left"/>
    </xf>
    <xf numFmtId="0" fontId="0" fillId="13" borderId="0" xfId="0" applyFill="1" applyBorder="1" applyAlignment="1">
      <alignment horizontal="left"/>
    </xf>
    <xf numFmtId="0" fontId="0" fillId="13" borderId="5" xfId="0" applyFill="1" applyBorder="1" applyAlignment="1">
      <alignment horizontal="left"/>
    </xf>
    <xf numFmtId="0" fontId="5" fillId="13" borderId="4" xfId="0" applyFont="1" applyFill="1" applyBorder="1" applyAlignment="1">
      <alignment horizontal="left"/>
    </xf>
    <xf numFmtId="0" fontId="5" fillId="13" borderId="0" xfId="0" applyFont="1" applyFill="1" applyBorder="1" applyAlignment="1">
      <alignment horizontal="left"/>
    </xf>
    <xf numFmtId="0" fontId="5" fillId="13" borderId="5" xfId="0" applyFont="1" applyFill="1" applyBorder="1" applyAlignment="1">
      <alignment horizontal="left"/>
    </xf>
    <xf numFmtId="0" fontId="0" fillId="13" borderId="4" xfId="0" applyFill="1" applyBorder="1" applyAlignment="1">
      <alignment horizontal="left" wrapText="1"/>
    </xf>
    <xf numFmtId="0" fontId="0" fillId="12" borderId="6" xfId="0" applyFill="1" applyBorder="1" applyAlignment="1">
      <alignment horizontal="center"/>
    </xf>
    <xf numFmtId="0" fontId="0" fillId="12" borderId="7" xfId="0" applyFill="1" applyBorder="1" applyAlignment="1">
      <alignment horizontal="center"/>
    </xf>
    <xf numFmtId="0" fontId="0" fillId="12" borderId="8" xfId="0" applyFill="1" applyBorder="1" applyAlignment="1">
      <alignment horizontal="center"/>
    </xf>
    <xf numFmtId="0" fontId="0" fillId="13" borderId="6" xfId="0" applyFill="1" applyBorder="1" applyAlignment="1">
      <alignment horizontal="left"/>
    </xf>
    <xf numFmtId="0" fontId="0" fillId="13" borderId="7" xfId="0" applyFill="1" applyBorder="1" applyAlignment="1">
      <alignment horizontal="left"/>
    </xf>
    <xf numFmtId="0" fontId="0" fillId="13" borderId="8" xfId="0" applyFill="1" applyBorder="1" applyAlignment="1">
      <alignment horizontal="left"/>
    </xf>
    <xf numFmtId="0" fontId="2" fillId="8" borderId="1" xfId="0" applyFont="1" applyFill="1" applyBorder="1" applyAlignment="1">
      <alignment horizontal="center" wrapText="1"/>
    </xf>
    <xf numFmtId="0" fontId="2" fillId="8" borderId="3" xfId="0" applyFont="1" applyFill="1" applyBorder="1" applyAlignment="1">
      <alignment horizontal="center" wrapText="1"/>
    </xf>
    <xf numFmtId="0" fontId="2" fillId="9" borderId="1" xfId="0" applyFont="1" applyFill="1" applyBorder="1" applyAlignment="1">
      <alignment horizontal="center" wrapText="1"/>
    </xf>
    <xf numFmtId="0" fontId="2" fillId="12" borderId="4" xfId="0" applyFont="1" applyFill="1" applyBorder="1" applyAlignment="1">
      <alignment horizontal="left"/>
    </xf>
    <xf numFmtId="0" fontId="0" fillId="12" borderId="4" xfId="0" applyFont="1" applyFill="1" applyBorder="1" applyAlignment="1">
      <alignment horizontal="left"/>
    </xf>
    <xf numFmtId="0" fontId="0" fillId="12" borderId="4" xfId="0" applyFont="1" applyFill="1" applyBorder="1" applyAlignment="1">
      <alignment horizontal="center"/>
    </xf>
    <xf numFmtId="0" fontId="0" fillId="12" borderId="0" xfId="0" applyFont="1" applyFill="1" applyBorder="1" applyAlignment="1">
      <alignment horizontal="center"/>
    </xf>
    <xf numFmtId="0" fontId="0" fillId="12" borderId="5" xfId="0" applyFont="1" applyFill="1" applyBorder="1" applyAlignment="1">
      <alignment horizontal="center"/>
    </xf>
    <xf numFmtId="0" fontId="0" fillId="12" borderId="6" xfId="0" applyFont="1" applyFill="1" applyBorder="1" applyAlignment="1">
      <alignment horizontal="left"/>
    </xf>
    <xf numFmtId="0" fontId="0" fillId="12" borderId="7" xfId="0" applyFont="1" applyFill="1" applyBorder="1" applyAlignment="1">
      <alignment horizontal="left"/>
    </xf>
    <xf numFmtId="0" fontId="0" fillId="12" borderId="8" xfId="0" applyFont="1" applyFill="1" applyBorder="1" applyAlignment="1">
      <alignment horizontal="left"/>
    </xf>
    <xf numFmtId="0" fontId="0" fillId="15" borderId="4" xfId="0" applyFill="1" applyBorder="1" applyAlignment="1">
      <alignment horizontal="center" wrapText="1"/>
    </xf>
    <xf numFmtId="0" fontId="0" fillId="15" borderId="0" xfId="0" applyFill="1" applyBorder="1" applyAlignment="1">
      <alignment horizontal="center" wrapText="1"/>
    </xf>
    <xf numFmtId="0" fontId="0" fillId="15" borderId="5" xfId="0" applyFill="1" applyBorder="1" applyAlignment="1">
      <alignment horizontal="center" wrapText="1"/>
    </xf>
    <xf numFmtId="0" fontId="0" fillId="15" borderId="4" xfId="0" applyFill="1" applyBorder="1" applyAlignment="1">
      <alignment horizontal="left" wrapText="1"/>
    </xf>
    <xf numFmtId="0" fontId="0" fillId="15" borderId="0" xfId="0" applyFill="1" applyBorder="1" applyAlignment="1">
      <alignment horizontal="left" wrapText="1"/>
    </xf>
    <xf numFmtId="0" fontId="0" fillId="15" borderId="5" xfId="0" applyFill="1" applyBorder="1" applyAlignment="1">
      <alignment horizontal="left" wrapText="1"/>
    </xf>
    <xf numFmtId="0" fontId="5" fillId="14" borderId="1" xfId="0" applyFont="1" applyFill="1" applyBorder="1" applyAlignment="1">
      <alignment horizontal="left"/>
    </xf>
    <xf numFmtId="0" fontId="5" fillId="14" borderId="2" xfId="0" applyFont="1" applyFill="1" applyBorder="1" applyAlignment="1">
      <alignment horizontal="left"/>
    </xf>
    <xf numFmtId="0" fontId="5" fillId="14" borderId="3" xfId="0" applyFont="1" applyFill="1" applyBorder="1" applyAlignment="1">
      <alignment horizontal="left"/>
    </xf>
    <xf numFmtId="0" fontId="2" fillId="15" borderId="1" xfId="0" applyFont="1" applyFill="1" applyBorder="1" applyAlignment="1">
      <alignment horizontal="left"/>
    </xf>
    <xf numFmtId="0" fontId="2" fillId="15" borderId="2" xfId="0" applyFont="1" applyFill="1" applyBorder="1" applyAlignment="1">
      <alignment horizontal="left"/>
    </xf>
    <xf numFmtId="0" fontId="2" fillId="15" borderId="3" xfId="0" applyFont="1" applyFill="1" applyBorder="1" applyAlignment="1">
      <alignment horizontal="left"/>
    </xf>
    <xf numFmtId="0" fontId="0" fillId="15" borderId="0" xfId="0" applyFill="1" applyBorder="1" applyAlignment="1">
      <alignment horizontal="left"/>
    </xf>
    <xf numFmtId="0" fontId="0" fillId="15" borderId="5" xfId="0" applyFill="1" applyBorder="1" applyAlignment="1">
      <alignment horizontal="left"/>
    </xf>
    <xf numFmtId="0" fontId="0" fillId="14" borderId="4" xfId="0" applyFill="1" applyBorder="1" applyAlignment="1">
      <alignment horizontal="left"/>
    </xf>
    <xf numFmtId="0" fontId="0" fillId="14" borderId="0" xfId="0" applyFill="1" applyBorder="1" applyAlignment="1">
      <alignment horizontal="left"/>
    </xf>
    <xf numFmtId="0" fontId="0" fillId="14" borderId="5" xfId="0" applyFill="1" applyBorder="1" applyAlignment="1">
      <alignment horizontal="left"/>
    </xf>
    <xf numFmtId="0" fontId="0" fillId="14" borderId="6" xfId="0" applyFill="1" applyBorder="1" applyAlignment="1">
      <alignment horizontal="left"/>
    </xf>
    <xf numFmtId="0" fontId="0" fillId="14" borderId="7" xfId="0" applyFill="1" applyBorder="1" applyAlignment="1">
      <alignment horizontal="left"/>
    </xf>
    <xf numFmtId="0" fontId="0" fillId="14" borderId="8" xfId="0" applyFill="1" applyBorder="1" applyAlignment="1">
      <alignment horizontal="left"/>
    </xf>
    <xf numFmtId="0" fontId="2" fillId="15" borderId="4" xfId="0" applyFont="1" applyFill="1" applyBorder="1" applyAlignment="1">
      <alignment horizontal="left"/>
    </xf>
    <xf numFmtId="0" fontId="2" fillId="15" borderId="0" xfId="0" applyFont="1" applyFill="1" applyBorder="1" applyAlignment="1">
      <alignment horizontal="left"/>
    </xf>
    <xf numFmtId="0" fontId="2" fillId="15" borderId="5" xfId="0" applyFont="1" applyFill="1" applyBorder="1" applyAlignment="1">
      <alignment horizontal="left"/>
    </xf>
    <xf numFmtId="0" fontId="2" fillId="15" borderId="4" xfId="0" applyFont="1" applyFill="1" applyBorder="1" applyAlignment="1">
      <alignment horizontal="center"/>
    </xf>
    <xf numFmtId="0" fontId="2" fillId="15" borderId="0" xfId="0" applyFont="1" applyFill="1" applyBorder="1" applyAlignment="1">
      <alignment horizontal="center"/>
    </xf>
    <xf numFmtId="0" fontId="2" fillId="15" borderId="5" xfId="0" applyFont="1" applyFill="1" applyBorder="1" applyAlignment="1">
      <alignment horizontal="center"/>
    </xf>
    <xf numFmtId="0" fontId="2" fillId="7" borderId="1"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0" fillId="12" borderId="6" xfId="0" applyFont="1" applyFill="1" applyBorder="1" applyAlignment="1">
      <alignment horizontal="left" wrapText="1"/>
    </xf>
    <xf numFmtId="0" fontId="0" fillId="12" borderId="7" xfId="0" applyFont="1" applyFill="1" applyBorder="1" applyAlignment="1">
      <alignment horizontal="left" wrapText="1"/>
    </xf>
    <xf numFmtId="0" fontId="0" fillId="12" borderId="8" xfId="0" applyFont="1" applyFill="1" applyBorder="1" applyAlignment="1">
      <alignment horizontal="left" wrapText="1"/>
    </xf>
    <xf numFmtId="0" fontId="0" fillId="15" borderId="6" xfId="0" applyFill="1" applyBorder="1" applyAlignment="1">
      <alignment horizontal="left"/>
    </xf>
    <xf numFmtId="0" fontId="0" fillId="15" borderId="7" xfId="0" applyFill="1" applyBorder="1" applyAlignment="1">
      <alignment horizontal="left"/>
    </xf>
    <xf numFmtId="0" fontId="0" fillId="15" borderId="8" xfId="0" applyFill="1" applyBorder="1" applyAlignment="1">
      <alignment horizontal="left"/>
    </xf>
    <xf numFmtId="0" fontId="0" fillId="15" borderId="4" xfId="0" applyFont="1" applyFill="1" applyBorder="1" applyAlignment="1">
      <alignment horizontal="left" wrapText="1"/>
    </xf>
    <xf numFmtId="0" fontId="0" fillId="15" borderId="0" xfId="0" applyFont="1" applyFill="1" applyBorder="1" applyAlignment="1">
      <alignment horizontal="left" wrapText="1"/>
    </xf>
    <xf numFmtId="0" fontId="0" fillId="15" borderId="5" xfId="0" applyFont="1" applyFill="1" applyBorder="1" applyAlignment="1">
      <alignment horizontal="left" wrapText="1"/>
    </xf>
    <xf numFmtId="0" fontId="0" fillId="15" borderId="4" xfId="0" applyFont="1" applyFill="1" applyBorder="1" applyAlignment="1">
      <alignment horizontal="left"/>
    </xf>
    <xf numFmtId="0" fontId="0" fillId="15" borderId="0" xfId="0" applyFont="1" applyFill="1" applyBorder="1" applyAlignment="1">
      <alignment horizontal="left"/>
    </xf>
    <xf numFmtId="0" fontId="0" fillId="15" borderId="5" xfId="0" applyFont="1" applyFill="1" applyBorder="1" applyAlignment="1">
      <alignment horizontal="left"/>
    </xf>
    <xf numFmtId="0" fontId="2" fillId="15" borderId="4" xfId="0" applyFont="1" applyFill="1" applyBorder="1" applyAlignment="1">
      <alignment horizontal="left" wrapText="1"/>
    </xf>
    <xf numFmtId="0" fontId="2" fillId="15" borderId="0" xfId="0" applyFont="1" applyFill="1" applyBorder="1" applyAlignment="1">
      <alignment horizontal="left" wrapText="1"/>
    </xf>
    <xf numFmtId="0" fontId="2" fillId="15" borderId="5" xfId="0" applyFont="1" applyFill="1" applyBorder="1" applyAlignment="1">
      <alignment horizontal="left" wrapText="1"/>
    </xf>
    <xf numFmtId="0" fontId="5" fillId="11" borderId="1" xfId="0" applyFont="1" applyFill="1" applyBorder="1" applyAlignment="1">
      <alignment horizontal="left"/>
    </xf>
    <xf numFmtId="0" fontId="5" fillId="11" borderId="2" xfId="0" applyFont="1" applyFill="1" applyBorder="1" applyAlignment="1">
      <alignment horizontal="left"/>
    </xf>
    <xf numFmtId="0" fontId="5" fillId="11" borderId="3" xfId="0" applyFont="1" applyFill="1" applyBorder="1" applyAlignment="1">
      <alignment horizontal="left"/>
    </xf>
    <xf numFmtId="0" fontId="0" fillId="11" borderId="4" xfId="0" applyFill="1" applyBorder="1" applyAlignment="1">
      <alignment horizontal="left"/>
    </xf>
    <xf numFmtId="0" fontId="0" fillId="11" borderId="0" xfId="0" applyFill="1" applyBorder="1" applyAlignment="1">
      <alignment horizontal="left"/>
    </xf>
    <xf numFmtId="0" fontId="0" fillId="11" borderId="5" xfId="0" applyFill="1" applyBorder="1" applyAlignment="1">
      <alignment horizontal="left"/>
    </xf>
    <xf numFmtId="0" fontId="0" fillId="11" borderId="6" xfId="0" applyFill="1" applyBorder="1" applyAlignment="1">
      <alignment horizontal="left"/>
    </xf>
    <xf numFmtId="0" fontId="0" fillId="11" borderId="7" xfId="0" applyFill="1" applyBorder="1" applyAlignment="1">
      <alignment horizontal="left"/>
    </xf>
    <xf numFmtId="0" fontId="0" fillId="11" borderId="8" xfId="0" applyFill="1" applyBorder="1" applyAlignment="1">
      <alignment horizontal="left"/>
    </xf>
    <xf numFmtId="0" fontId="0" fillId="12" borderId="4" xfId="0" applyFill="1" applyBorder="1" applyAlignment="1">
      <alignment horizontal="left"/>
    </xf>
    <xf numFmtId="0" fontId="0" fillId="12" borderId="6" xfId="0" applyFill="1" applyBorder="1" applyAlignment="1">
      <alignment horizontal="left"/>
    </xf>
    <xf numFmtId="0" fontId="0" fillId="12" borderId="7" xfId="0" applyFill="1" applyBorder="1" applyAlignment="1">
      <alignment horizontal="left"/>
    </xf>
    <xf numFmtId="0" fontId="0" fillId="12" borderId="8" xfId="0" applyFill="1" applyBorder="1" applyAlignment="1">
      <alignment horizontal="left"/>
    </xf>
    <xf numFmtId="0" fontId="4" fillId="12" borderId="4" xfId="0" applyFont="1" applyFill="1" applyBorder="1" applyAlignment="1">
      <alignment horizontal="left" wrapText="1"/>
    </xf>
    <xf numFmtId="0" fontId="4" fillId="12" borderId="0" xfId="0" applyFont="1" applyFill="1" applyBorder="1" applyAlignment="1">
      <alignment horizontal="left" wrapText="1"/>
    </xf>
    <xf numFmtId="0" fontId="4" fillId="12" borderId="5" xfId="0" applyFont="1" applyFill="1" applyBorder="1" applyAlignment="1">
      <alignment horizontal="left" wrapText="1"/>
    </xf>
    <xf numFmtId="0" fontId="3" fillId="12" borderId="4" xfId="0" applyFont="1" applyFill="1" applyBorder="1" applyAlignment="1">
      <alignment horizontal="left" wrapText="1"/>
    </xf>
    <xf numFmtId="0" fontId="3" fillId="12" borderId="0" xfId="0" applyFont="1" applyFill="1" applyBorder="1" applyAlignment="1">
      <alignment horizontal="left" wrapText="1"/>
    </xf>
    <xf numFmtId="0" fontId="3" fillId="12" borderId="5" xfId="0" applyFont="1" applyFill="1" applyBorder="1" applyAlignment="1">
      <alignment horizontal="left" wrapText="1"/>
    </xf>
    <xf numFmtId="0" fontId="2" fillId="7" borderId="0" xfId="0" applyFont="1" applyFill="1" applyBorder="1" applyAlignment="1">
      <alignment horizontal="center" wrapText="1"/>
    </xf>
    <xf numFmtId="0" fontId="2" fillId="7" borderId="5" xfId="0" applyFont="1" applyFill="1" applyBorder="1" applyAlignment="1">
      <alignment horizontal="center" wrapText="1"/>
    </xf>
    <xf numFmtId="0" fontId="0" fillId="11" borderId="6" xfId="0" applyFill="1" applyBorder="1" applyAlignment="1">
      <alignment horizontal="left" wrapText="1"/>
    </xf>
    <xf numFmtId="0" fontId="0" fillId="11" borderId="7" xfId="0" applyFill="1" applyBorder="1" applyAlignment="1">
      <alignment horizontal="left" wrapText="1"/>
    </xf>
    <xf numFmtId="0" fontId="0" fillId="11" borderId="8" xfId="0" applyFill="1" applyBorder="1" applyAlignment="1">
      <alignment horizontal="left" wrapText="1"/>
    </xf>
    <xf numFmtId="0" fontId="0" fillId="11" borderId="4" xfId="0" applyFill="1" applyBorder="1" applyAlignment="1">
      <alignment horizontal="left" wrapText="1"/>
    </xf>
    <xf numFmtId="0" fontId="3" fillId="11" borderId="4" xfId="0" applyFont="1" applyFill="1" applyBorder="1" applyAlignment="1">
      <alignment horizontal="left"/>
    </xf>
    <xf numFmtId="0" fontId="3" fillId="11" borderId="0" xfId="0" applyFont="1" applyFill="1" applyBorder="1" applyAlignment="1">
      <alignment horizontal="left"/>
    </xf>
    <xf numFmtId="0" fontId="3" fillId="11" borderId="5" xfId="0" applyFont="1" applyFill="1" applyBorder="1" applyAlignment="1">
      <alignment horizontal="left"/>
    </xf>
    <xf numFmtId="0" fontId="4" fillId="12" borderId="1" xfId="0" applyFont="1" applyFill="1" applyBorder="1" applyAlignment="1">
      <alignment horizontal="center"/>
    </xf>
    <xf numFmtId="0" fontId="4" fillId="12" borderId="2" xfId="0" applyFont="1" applyFill="1" applyBorder="1" applyAlignment="1">
      <alignment horizontal="center"/>
    </xf>
    <xf numFmtId="0" fontId="4" fillId="12" borderId="3" xfId="0" applyFont="1" applyFill="1" applyBorder="1" applyAlignment="1">
      <alignment horizontal="center"/>
    </xf>
    <xf numFmtId="0" fontId="3" fillId="0" borderId="4" xfId="0" applyFont="1" applyBorder="1"/>
    <xf numFmtId="17" fontId="3" fillId="0" borderId="0" xfId="0" applyNumberFormat="1" applyFont="1" applyBorder="1"/>
    <xf numFmtId="3" fontId="3" fillId="0" borderId="0" xfId="0" applyNumberFormat="1" applyFont="1" applyBorder="1"/>
    <xf numFmtId="3" fontId="3" fillId="0" borderId="5" xfId="0" applyNumberFormat="1" applyFont="1" applyBorder="1"/>
    <xf numFmtId="0" fontId="3" fillId="0" borderId="0" xfId="0" applyFont="1" applyBorder="1"/>
    <xf numFmtId="0" fontId="3" fillId="12" borderId="6" xfId="0" applyFont="1" applyFill="1" applyBorder="1" applyAlignment="1">
      <alignment horizontal="left"/>
    </xf>
    <xf numFmtId="0" fontId="3" fillId="12" borderId="7" xfId="0" applyFont="1" applyFill="1" applyBorder="1" applyAlignment="1">
      <alignment horizontal="left"/>
    </xf>
    <xf numFmtId="0" fontId="3" fillId="12" borderId="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FFFFCC"/>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topLeftCell="A13" workbookViewId="0">
      <selection activeCell="G31" sqref="G31"/>
    </sheetView>
  </sheetViews>
  <sheetFormatPr defaultRowHeight="15" x14ac:dyDescent="0.25"/>
  <sheetData>
    <row r="1" spans="1:1" ht="18.75" x14ac:dyDescent="0.3">
      <c r="A1" s="19" t="s">
        <v>33</v>
      </c>
    </row>
    <row r="2" spans="1:1" x14ac:dyDescent="0.25">
      <c r="A2" s="1"/>
    </row>
    <row r="3" spans="1:1" ht="15.75" x14ac:dyDescent="0.25">
      <c r="A3" s="17" t="s">
        <v>39</v>
      </c>
    </row>
    <row r="5" spans="1:1" x14ac:dyDescent="0.25">
      <c r="A5" s="1" t="s">
        <v>34</v>
      </c>
    </row>
    <row r="6" spans="1:1" x14ac:dyDescent="0.25">
      <c r="A6" t="s">
        <v>35</v>
      </c>
    </row>
    <row r="8" spans="1:1" x14ac:dyDescent="0.25">
      <c r="A8" s="1" t="s">
        <v>36</v>
      </c>
    </row>
    <row r="9" spans="1:1" x14ac:dyDescent="0.25">
      <c r="A9" t="s">
        <v>37</v>
      </c>
    </row>
    <row r="11" spans="1:1" x14ac:dyDescent="0.25">
      <c r="A11" t="s">
        <v>38</v>
      </c>
    </row>
    <row r="13" spans="1:1" x14ac:dyDescent="0.25">
      <c r="A13" t="s">
        <v>43</v>
      </c>
    </row>
    <row r="14" spans="1:1" x14ac:dyDescent="0.25">
      <c r="A14" t="s">
        <v>44</v>
      </c>
    </row>
    <row r="15" spans="1:1" x14ac:dyDescent="0.25">
      <c r="A15" t="s">
        <v>45</v>
      </c>
    </row>
    <row r="16" spans="1:1" x14ac:dyDescent="0.25">
      <c r="A16" t="s">
        <v>46</v>
      </c>
    </row>
    <row r="18" spans="1:1" x14ac:dyDescent="0.25">
      <c r="A18" t="s">
        <v>42</v>
      </c>
    </row>
    <row r="20" spans="1:1" x14ac:dyDescent="0.25">
      <c r="A20" t="s">
        <v>58</v>
      </c>
    </row>
    <row r="21" spans="1:1" x14ac:dyDescent="0.25">
      <c r="A21" t="s">
        <v>59</v>
      </c>
    </row>
    <row r="22" spans="1:1" x14ac:dyDescent="0.25">
      <c r="A22" t="s">
        <v>60</v>
      </c>
    </row>
    <row r="23" spans="1:1" x14ac:dyDescent="0.25">
      <c r="A23" t="s">
        <v>61</v>
      </c>
    </row>
    <row r="25" spans="1:1" x14ac:dyDescent="0.25">
      <c r="A25" s="18" t="s">
        <v>62</v>
      </c>
    </row>
    <row r="26" spans="1:1" x14ac:dyDescent="0.25">
      <c r="A26" s="18" t="s">
        <v>63</v>
      </c>
    </row>
    <row r="27" spans="1:1" x14ac:dyDescent="0.25">
      <c r="A27" s="18" t="s">
        <v>64</v>
      </c>
    </row>
    <row r="29" spans="1:1" ht="15.75" x14ac:dyDescent="0.25">
      <c r="A29" s="17" t="s">
        <v>41</v>
      </c>
    </row>
    <row r="31" spans="1:1" x14ac:dyDescent="0.25">
      <c r="A31" t="s">
        <v>40</v>
      </c>
    </row>
    <row r="33" spans="1:2" x14ac:dyDescent="0.25">
      <c r="A33" t="s">
        <v>47</v>
      </c>
    </row>
    <row r="34" spans="1:2" x14ac:dyDescent="0.25">
      <c r="A34" t="s">
        <v>48</v>
      </c>
    </row>
    <row r="35" spans="1:2" x14ac:dyDescent="0.25">
      <c r="A35" t="s">
        <v>49</v>
      </c>
    </row>
    <row r="36" spans="1:2" x14ac:dyDescent="0.25">
      <c r="A36" t="s">
        <v>50</v>
      </c>
    </row>
    <row r="37" spans="1:2" x14ac:dyDescent="0.25">
      <c r="A37" t="s">
        <v>51</v>
      </c>
    </row>
    <row r="38" spans="1:2" x14ac:dyDescent="0.25">
      <c r="A38" t="s">
        <v>52</v>
      </c>
    </row>
    <row r="39" spans="1:2" x14ac:dyDescent="0.25">
      <c r="A39" t="s">
        <v>53</v>
      </c>
    </row>
    <row r="40" spans="1:2" x14ac:dyDescent="0.25">
      <c r="A40" t="s">
        <v>54</v>
      </c>
    </row>
    <row r="41" spans="1:2" x14ac:dyDescent="0.25">
      <c r="A41" t="s">
        <v>55</v>
      </c>
    </row>
    <row r="42" spans="1:2" x14ac:dyDescent="0.25">
      <c r="A42" t="s">
        <v>56</v>
      </c>
    </row>
    <row r="43" spans="1:2" x14ac:dyDescent="0.25">
      <c r="A43" t="s">
        <v>57</v>
      </c>
    </row>
    <row r="45" spans="1:2" ht="18.75" x14ac:dyDescent="0.3">
      <c r="A45" s="19" t="s">
        <v>65</v>
      </c>
    </row>
    <row r="47" spans="1:2" s="1" customFormat="1" x14ac:dyDescent="0.25">
      <c r="A47" s="1" t="s">
        <v>66</v>
      </c>
    </row>
    <row r="48" spans="1:2" x14ac:dyDescent="0.25">
      <c r="A48" t="s">
        <v>67</v>
      </c>
      <c r="B48" t="s">
        <v>68</v>
      </c>
    </row>
    <row r="50" spans="1:1" x14ac:dyDescent="0.25">
      <c r="A50" s="1" t="s">
        <v>69</v>
      </c>
    </row>
    <row r="52" spans="1:1" x14ac:dyDescent="0.25">
      <c r="A52" t="s">
        <v>70</v>
      </c>
    </row>
    <row r="53" spans="1:1" x14ac:dyDescent="0.25">
      <c r="A53" t="s">
        <v>71</v>
      </c>
    </row>
    <row r="54" spans="1:1" x14ac:dyDescent="0.25">
      <c r="A54" t="s">
        <v>72</v>
      </c>
    </row>
    <row r="55" spans="1:1" x14ac:dyDescent="0.25">
      <c r="A55" t="s">
        <v>73</v>
      </c>
    </row>
    <row r="56" spans="1:1" x14ac:dyDescent="0.25">
      <c r="A56" t="s">
        <v>74</v>
      </c>
    </row>
    <row r="57" spans="1:1" x14ac:dyDescent="0.25">
      <c r="A57" t="s">
        <v>76</v>
      </c>
    </row>
    <row r="58" spans="1:1" x14ac:dyDescent="0.25">
      <c r="A58" t="s">
        <v>77</v>
      </c>
    </row>
    <row r="59" spans="1:1" x14ac:dyDescent="0.25">
      <c r="A59" t="s">
        <v>75</v>
      </c>
    </row>
    <row r="61" spans="1:1" x14ac:dyDescent="0.25">
      <c r="A61" s="1" t="s">
        <v>78</v>
      </c>
    </row>
    <row r="62" spans="1:1" x14ac:dyDescent="0.25">
      <c r="A62" s="1"/>
    </row>
    <row r="63" spans="1:1" x14ac:dyDescent="0.25">
      <c r="A63" t="s">
        <v>70</v>
      </c>
    </row>
    <row r="64" spans="1:1" x14ac:dyDescent="0.25">
      <c r="A64" t="s">
        <v>79</v>
      </c>
    </row>
    <row r="65" spans="1:1" x14ac:dyDescent="0.25">
      <c r="A65" t="s">
        <v>80</v>
      </c>
    </row>
    <row r="66" spans="1:1" x14ac:dyDescent="0.25">
      <c r="A66" t="s">
        <v>81</v>
      </c>
    </row>
    <row r="67" spans="1:1" x14ac:dyDescent="0.25">
      <c r="A67" t="s">
        <v>82</v>
      </c>
    </row>
    <row r="68" spans="1:1" x14ac:dyDescent="0.25">
      <c r="A68" t="s">
        <v>83</v>
      </c>
    </row>
    <row r="69" spans="1:1" x14ac:dyDescent="0.25">
      <c r="A69" t="s">
        <v>84</v>
      </c>
    </row>
    <row r="70" spans="1:1" x14ac:dyDescent="0.25">
      <c r="A70" t="s">
        <v>85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R70"/>
  <sheetViews>
    <sheetView view="pageBreakPreview" topLeftCell="S1" zoomScaleNormal="100" zoomScaleSheetLayoutView="100" workbookViewId="0">
      <selection activeCell="A61" sqref="A61:AR61"/>
    </sheetView>
  </sheetViews>
  <sheetFormatPr defaultRowHeight="15" outlineLevelRow="1" outlineLevelCol="1" x14ac:dyDescent="0.25"/>
  <cols>
    <col min="1" max="1" width="2.85546875" customWidth="1"/>
    <col min="2" max="2" width="7.140625" customWidth="1"/>
    <col min="3" max="4" width="8.5703125" customWidth="1"/>
    <col min="5" max="6" width="7.42578125" customWidth="1"/>
    <col min="7" max="8" width="8.140625" customWidth="1"/>
    <col min="9" max="9" width="1" customWidth="1"/>
    <col min="10" max="10" width="2.85546875" customWidth="1" outlineLevel="1"/>
    <col min="11" max="11" width="7.140625" hidden="1" customWidth="1" outlineLevel="1"/>
    <col min="12" max="13" width="8.5703125" customWidth="1" outlineLevel="1"/>
    <col min="14" max="15" width="7.42578125" customWidth="1" outlineLevel="1"/>
    <col min="16" max="17" width="8.140625" customWidth="1" outlineLevel="1"/>
    <col min="18" max="18" width="1.42578125" customWidth="1"/>
    <col min="19" max="19" width="2.85546875" customWidth="1" outlineLevel="1"/>
    <col min="20" max="20" width="7.140625" hidden="1" customWidth="1" outlineLevel="1"/>
    <col min="21" max="22" width="8.5703125" customWidth="1" outlineLevel="1"/>
    <col min="23" max="24" width="7.42578125" customWidth="1" outlineLevel="1"/>
    <col min="25" max="26" width="8.140625" customWidth="1" outlineLevel="1"/>
    <col min="27" max="27" width="1.42578125" customWidth="1"/>
    <col min="28" max="28" width="2.85546875" customWidth="1" outlineLevel="1"/>
    <col min="29" max="29" width="7.140625" hidden="1" customWidth="1" outlineLevel="1"/>
    <col min="30" max="31" width="8.5703125" customWidth="1" outlineLevel="1"/>
    <col min="32" max="33" width="7.42578125" customWidth="1" outlineLevel="1"/>
    <col min="34" max="35" width="8.140625" customWidth="1" outlineLevel="1"/>
    <col min="36" max="36" width="1.42578125" customWidth="1"/>
    <col min="37" max="37" width="2.7109375" style="1" customWidth="1"/>
    <col min="38" max="38" width="10" style="1" customWidth="1"/>
    <col min="39" max="39" width="3.42578125" customWidth="1"/>
    <col min="40" max="40" width="8" customWidth="1"/>
    <col min="41" max="41" width="5.28515625" customWidth="1"/>
    <col min="42" max="42" width="2.85546875" customWidth="1"/>
    <col min="43" max="43" width="26.42578125" customWidth="1"/>
    <col min="44" max="44" width="9.140625" style="72"/>
  </cols>
  <sheetData>
    <row r="1" spans="1:44" x14ac:dyDescent="0.25">
      <c r="A1" s="1" t="s">
        <v>129</v>
      </c>
      <c r="C1" s="1"/>
      <c r="F1" s="22">
        <v>2.5000000000000001E-3</v>
      </c>
      <c r="AL1" s="1" t="s">
        <v>237</v>
      </c>
    </row>
    <row r="2" spans="1:44" ht="5.25" customHeight="1" thickBot="1" x14ac:dyDescent="0.3"/>
    <row r="3" spans="1:44" ht="15.75" outlineLevel="1" x14ac:dyDescent="0.25">
      <c r="A3" s="411" t="s">
        <v>183</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412"/>
      <c r="AN3" s="412"/>
      <c r="AO3" s="412"/>
      <c r="AP3" s="412"/>
      <c r="AQ3" s="412"/>
      <c r="AR3" s="413"/>
    </row>
    <row r="4" spans="1:44" outlineLevel="1" x14ac:dyDescent="0.25">
      <c r="A4" s="414" t="s">
        <v>326</v>
      </c>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415"/>
      <c r="AN4" s="415"/>
      <c r="AO4" s="415"/>
      <c r="AP4" s="415"/>
      <c r="AQ4" s="415"/>
      <c r="AR4" s="416"/>
    </row>
    <row r="5" spans="1:44" ht="15.75" outlineLevel="1" thickBot="1" x14ac:dyDescent="0.3">
      <c r="A5" s="417" t="s">
        <v>197</v>
      </c>
      <c r="B5" s="418"/>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c r="AM5" s="418"/>
      <c r="AN5" s="418"/>
      <c r="AO5" s="418"/>
      <c r="AP5" s="418"/>
      <c r="AQ5" s="418"/>
      <c r="AR5" s="419"/>
    </row>
    <row r="6" spans="1:44" ht="12" customHeight="1" thickBot="1" x14ac:dyDescent="0.3"/>
    <row r="7" spans="1:44" ht="15.75" thickBot="1" x14ac:dyDescent="0.3">
      <c r="A7" s="284" t="s">
        <v>199</v>
      </c>
      <c r="B7" s="285"/>
      <c r="C7" s="285"/>
      <c r="D7" s="285"/>
      <c r="E7" s="285"/>
      <c r="F7" s="285"/>
      <c r="G7" s="285"/>
      <c r="H7" s="286"/>
      <c r="I7" s="108"/>
      <c r="J7" s="284" t="s">
        <v>353</v>
      </c>
      <c r="K7" s="285"/>
      <c r="L7" s="285"/>
      <c r="M7" s="285"/>
      <c r="N7" s="285"/>
      <c r="O7" s="285"/>
      <c r="P7" s="285"/>
      <c r="Q7" s="286"/>
      <c r="R7" s="108"/>
      <c r="S7" s="284" t="s">
        <v>354</v>
      </c>
      <c r="T7" s="285"/>
      <c r="U7" s="285"/>
      <c r="V7" s="285"/>
      <c r="W7" s="285"/>
      <c r="X7" s="285"/>
      <c r="Y7" s="285"/>
      <c r="Z7" s="286"/>
      <c r="AA7" s="108"/>
      <c r="AB7" s="284" t="s">
        <v>355</v>
      </c>
      <c r="AC7" s="285"/>
      <c r="AD7" s="285"/>
      <c r="AE7" s="285"/>
      <c r="AF7" s="285"/>
      <c r="AG7" s="285"/>
      <c r="AH7" s="285"/>
      <c r="AI7" s="286"/>
      <c r="AJ7" s="108"/>
      <c r="AK7" s="302" t="s">
        <v>185</v>
      </c>
      <c r="AL7" s="303"/>
      <c r="AM7" s="303"/>
      <c r="AN7" s="303"/>
      <c r="AO7" s="303"/>
      <c r="AP7" s="303"/>
      <c r="AQ7" s="303"/>
      <c r="AR7" s="304"/>
    </row>
    <row r="8" spans="1:44" s="1" customFormat="1" ht="75" customHeight="1" thickBot="1" x14ac:dyDescent="0.3">
      <c r="A8" s="24" t="s">
        <v>99</v>
      </c>
      <c r="B8" s="25" t="s">
        <v>98</v>
      </c>
      <c r="C8" s="26" t="s">
        <v>92</v>
      </c>
      <c r="D8" s="26" t="s">
        <v>93</v>
      </c>
      <c r="E8" s="26" t="s">
        <v>97</v>
      </c>
      <c r="F8" s="26" t="s">
        <v>96</v>
      </c>
      <c r="G8" s="26" t="s">
        <v>95</v>
      </c>
      <c r="H8" s="27" t="s">
        <v>104</v>
      </c>
      <c r="I8" s="74"/>
      <c r="J8" s="24" t="s">
        <v>99</v>
      </c>
      <c r="K8" s="25" t="s">
        <v>98</v>
      </c>
      <c r="L8" s="26" t="s">
        <v>92</v>
      </c>
      <c r="M8" s="26" t="s">
        <v>93</v>
      </c>
      <c r="N8" s="26" t="s">
        <v>97</v>
      </c>
      <c r="O8" s="26" t="s">
        <v>96</v>
      </c>
      <c r="P8" s="26" t="s">
        <v>95</v>
      </c>
      <c r="Q8" s="27" t="s">
        <v>104</v>
      </c>
      <c r="R8" s="74"/>
      <c r="S8" s="24" t="s">
        <v>99</v>
      </c>
      <c r="T8" s="25" t="s">
        <v>98</v>
      </c>
      <c r="U8" s="26" t="s">
        <v>92</v>
      </c>
      <c r="V8" s="26" t="s">
        <v>93</v>
      </c>
      <c r="W8" s="26" t="s">
        <v>97</v>
      </c>
      <c r="X8" s="26" t="s">
        <v>96</v>
      </c>
      <c r="Y8" s="26" t="s">
        <v>95</v>
      </c>
      <c r="Z8" s="27" t="s">
        <v>104</v>
      </c>
      <c r="AA8" s="74"/>
      <c r="AB8" s="24" t="s">
        <v>99</v>
      </c>
      <c r="AC8" s="25" t="s">
        <v>98</v>
      </c>
      <c r="AD8" s="26" t="s">
        <v>92</v>
      </c>
      <c r="AE8" s="26" t="s">
        <v>93</v>
      </c>
      <c r="AF8" s="26" t="s">
        <v>97</v>
      </c>
      <c r="AG8" s="26" t="s">
        <v>96</v>
      </c>
      <c r="AH8" s="26" t="s">
        <v>95</v>
      </c>
      <c r="AI8" s="27" t="s">
        <v>104</v>
      </c>
      <c r="AJ8" s="74"/>
      <c r="AK8" s="78"/>
      <c r="AL8" s="79" t="s">
        <v>172</v>
      </c>
      <c r="AM8" s="79"/>
      <c r="AN8" s="79" t="s">
        <v>168</v>
      </c>
      <c r="AO8" s="79" t="s">
        <v>169</v>
      </c>
      <c r="AP8" s="79" t="s">
        <v>152</v>
      </c>
      <c r="AQ8" s="79" t="s">
        <v>170</v>
      </c>
      <c r="AR8" s="80" t="s">
        <v>171</v>
      </c>
    </row>
    <row r="9" spans="1:44" x14ac:dyDescent="0.25">
      <c r="A9" s="28">
        <v>0</v>
      </c>
      <c r="B9" s="33">
        <v>43647</v>
      </c>
      <c r="C9" s="31">
        <f>(50000/12)</f>
        <v>4166.666666666667</v>
      </c>
      <c r="D9" s="31">
        <f>+C9/(1+F$1)^A9</f>
        <v>4166.666666666667</v>
      </c>
      <c r="E9" s="31">
        <f>+D$57/48</f>
        <v>3931.5660912783574</v>
      </c>
      <c r="F9" s="31">
        <f>+D$57-E9</f>
        <v>184783.6062900828</v>
      </c>
      <c r="G9" s="31">
        <f>+(D$57-C9)*F$1</f>
        <v>461.37126428673628</v>
      </c>
      <c r="H9" s="32">
        <f>+D$57-C9+G9</f>
        <v>185009.87697898125</v>
      </c>
      <c r="I9" s="31"/>
      <c r="J9" s="28"/>
      <c r="K9" s="33"/>
      <c r="L9" s="31"/>
      <c r="M9" s="31"/>
      <c r="N9" s="31"/>
      <c r="O9" s="31"/>
      <c r="P9" s="31"/>
      <c r="Q9" s="32"/>
      <c r="R9" s="31"/>
      <c r="S9" s="28"/>
      <c r="T9" s="33"/>
      <c r="U9" s="31"/>
      <c r="V9" s="31"/>
      <c r="W9" s="31"/>
      <c r="X9" s="31"/>
      <c r="Y9" s="31"/>
      <c r="Z9" s="32"/>
      <c r="AA9" s="31"/>
      <c r="AB9" s="28"/>
      <c r="AC9" s="33"/>
      <c r="AD9" s="31"/>
      <c r="AE9" s="31"/>
      <c r="AF9" s="31"/>
      <c r="AG9" s="31"/>
      <c r="AH9" s="31"/>
      <c r="AI9" s="32"/>
      <c r="AJ9" s="31"/>
      <c r="AK9" s="124" t="s">
        <v>109</v>
      </c>
      <c r="AL9" s="126">
        <v>43647</v>
      </c>
      <c r="AM9" s="125" t="s">
        <v>0</v>
      </c>
      <c r="AN9" s="40">
        <v>5311002</v>
      </c>
      <c r="AO9" s="40">
        <v>7321</v>
      </c>
      <c r="AP9" s="40"/>
      <c r="AQ9" s="40" t="s">
        <v>146</v>
      </c>
      <c r="AR9" s="70">
        <f>+D57</f>
        <v>188715.17238136116</v>
      </c>
    </row>
    <row r="10" spans="1:44" x14ac:dyDescent="0.25">
      <c r="A10" s="28">
        <v>1</v>
      </c>
      <c r="B10" s="33">
        <v>43678</v>
      </c>
      <c r="C10" s="31">
        <f t="shared" ref="C10:C56" si="0">(50000/12)</f>
        <v>4166.666666666667</v>
      </c>
      <c r="D10" s="31">
        <f>+C10/(1+F$1)^A10</f>
        <v>4156.2759767248554</v>
      </c>
      <c r="E10" s="31">
        <f t="shared" ref="E10:E56" si="1">+D$57/48</f>
        <v>3931.5660912783574</v>
      </c>
      <c r="F10" s="31">
        <f t="shared" ref="F10:F56" si="2">+F9-E10</f>
        <v>180852.04019880443</v>
      </c>
      <c r="G10" s="31">
        <f>+(H9-C10)*F$1</f>
        <v>452.10802578078648</v>
      </c>
      <c r="H10" s="32">
        <f t="shared" ref="H10:H56" si="3">+H9-C10+G10</f>
        <v>181295.31833809539</v>
      </c>
      <c r="I10" s="31"/>
      <c r="J10" s="28"/>
      <c r="K10" s="33"/>
      <c r="L10" s="31"/>
      <c r="M10" s="31"/>
      <c r="N10" s="31"/>
      <c r="O10" s="31"/>
      <c r="P10" s="31"/>
      <c r="Q10" s="32"/>
      <c r="R10" s="31"/>
      <c r="S10" s="28"/>
      <c r="T10" s="33"/>
      <c r="U10" s="31"/>
      <c r="V10" s="31"/>
      <c r="W10" s="31"/>
      <c r="X10" s="31"/>
      <c r="Y10" s="31"/>
      <c r="Z10" s="32"/>
      <c r="AA10" s="31"/>
      <c r="AB10" s="28"/>
      <c r="AC10" s="33"/>
      <c r="AD10" s="31"/>
      <c r="AE10" s="31"/>
      <c r="AF10" s="31"/>
      <c r="AG10" s="31"/>
      <c r="AH10" s="31"/>
      <c r="AI10" s="32"/>
      <c r="AJ10" s="31"/>
      <c r="AK10" s="115"/>
      <c r="AL10" s="116"/>
      <c r="AM10" s="116" t="s">
        <v>1</v>
      </c>
      <c r="AN10" s="40">
        <v>3240102</v>
      </c>
      <c r="AO10" s="40"/>
      <c r="AP10" s="40"/>
      <c r="AQ10" s="40" t="s">
        <v>270</v>
      </c>
      <c r="AR10" s="70">
        <f>AR9</f>
        <v>188715.17238136116</v>
      </c>
    </row>
    <row r="11" spans="1:44" x14ac:dyDescent="0.25">
      <c r="A11" s="28">
        <v>2</v>
      </c>
      <c r="B11" s="33">
        <v>43709</v>
      </c>
      <c r="C11" s="31">
        <f t="shared" si="0"/>
        <v>4166.666666666667</v>
      </c>
      <c r="D11" s="31">
        <f t="shared" ref="D11:D55" si="4">+C11/(1+F$1)^A11</f>
        <v>4145.9111987280348</v>
      </c>
      <c r="E11" s="31">
        <f t="shared" si="1"/>
        <v>3931.5660912783574</v>
      </c>
      <c r="F11" s="31">
        <f>+F10-E11</f>
        <v>176920.47410752607</v>
      </c>
      <c r="G11" s="31">
        <f t="shared" ref="G11:G56" si="5">+(H10-C11)*F$1</f>
        <v>442.82162917857181</v>
      </c>
      <c r="H11" s="32">
        <f t="shared" si="3"/>
        <v>177571.47330060729</v>
      </c>
      <c r="I11" s="31"/>
      <c r="J11" s="28"/>
      <c r="K11" s="33"/>
      <c r="L11" s="31"/>
      <c r="M11" s="31"/>
      <c r="N11" s="31"/>
      <c r="O11" s="31"/>
      <c r="P11" s="31"/>
      <c r="Q11" s="32"/>
      <c r="R11" s="31"/>
      <c r="S11" s="28"/>
      <c r="T11" s="33"/>
      <c r="U11" s="31"/>
      <c r="V11" s="31"/>
      <c r="W11" s="31"/>
      <c r="X11" s="31"/>
      <c r="Y11" s="31"/>
      <c r="Z11" s="32"/>
      <c r="AA11" s="31"/>
      <c r="AB11" s="28"/>
      <c r="AC11" s="33"/>
      <c r="AD11" s="31"/>
      <c r="AE11" s="31"/>
      <c r="AF11" s="31"/>
      <c r="AG11" s="31"/>
      <c r="AH11" s="31"/>
      <c r="AI11" s="32"/>
      <c r="AJ11" s="31"/>
      <c r="AK11" s="115" t="s">
        <v>198</v>
      </c>
      <c r="AL11" s="116"/>
      <c r="AM11" s="116"/>
      <c r="AN11" s="40"/>
      <c r="AO11" s="40"/>
      <c r="AP11" s="40"/>
      <c r="AQ11" s="40"/>
      <c r="AR11" s="70"/>
    </row>
    <row r="12" spans="1:44" ht="15" customHeight="1" x14ac:dyDescent="0.25">
      <c r="A12" s="28">
        <v>3</v>
      </c>
      <c r="B12" s="33">
        <v>43739</v>
      </c>
      <c r="C12" s="31">
        <f t="shared" si="0"/>
        <v>4166.666666666667</v>
      </c>
      <c r="D12" s="31">
        <f t="shared" si="4"/>
        <v>4135.5722680578911</v>
      </c>
      <c r="E12" s="31">
        <f t="shared" si="1"/>
        <v>3931.5660912783574</v>
      </c>
      <c r="F12" s="31">
        <f>+F11-E12</f>
        <v>172988.9080162477</v>
      </c>
      <c r="G12" s="31">
        <f t="shared" si="5"/>
        <v>433.51201658485161</v>
      </c>
      <c r="H12" s="32">
        <f t="shared" si="3"/>
        <v>173838.3186505255</v>
      </c>
      <c r="I12" s="31"/>
      <c r="J12" s="28"/>
      <c r="K12" s="33"/>
      <c r="L12" s="31"/>
      <c r="M12" s="31"/>
      <c r="N12" s="31"/>
      <c r="O12" s="31"/>
      <c r="P12" s="31"/>
      <c r="Q12" s="32"/>
      <c r="R12" s="31"/>
      <c r="S12" s="28"/>
      <c r="T12" s="33"/>
      <c r="U12" s="31"/>
      <c r="V12" s="31"/>
      <c r="W12" s="31"/>
      <c r="X12" s="31"/>
      <c r="Y12" s="31"/>
      <c r="Z12" s="32"/>
      <c r="AA12" s="31"/>
      <c r="AB12" s="28"/>
      <c r="AC12" s="33"/>
      <c r="AD12" s="31"/>
      <c r="AE12" s="31"/>
      <c r="AF12" s="31"/>
      <c r="AG12" s="31"/>
      <c r="AH12" s="31"/>
      <c r="AI12" s="32"/>
      <c r="AJ12" s="31"/>
      <c r="AK12" s="115"/>
      <c r="AL12" s="116"/>
      <c r="AM12" s="116"/>
      <c r="AN12" s="40"/>
      <c r="AO12" s="40"/>
      <c r="AP12" s="40"/>
      <c r="AQ12" s="40"/>
      <c r="AR12" s="70"/>
    </row>
    <row r="13" spans="1:44" x14ac:dyDescent="0.25">
      <c r="A13" s="28">
        <v>4</v>
      </c>
      <c r="B13" s="33">
        <v>43770</v>
      </c>
      <c r="C13" s="31">
        <f t="shared" si="0"/>
        <v>4166.666666666667</v>
      </c>
      <c r="D13" s="31">
        <f t="shared" si="4"/>
        <v>4125.2591202572476</v>
      </c>
      <c r="E13" s="31">
        <f t="shared" si="1"/>
        <v>3931.5660912783574</v>
      </c>
      <c r="F13" s="31">
        <f t="shared" si="2"/>
        <v>169057.34192496934</v>
      </c>
      <c r="G13" s="31">
        <f t="shared" si="5"/>
        <v>424.17912995964713</v>
      </c>
      <c r="H13" s="32">
        <f t="shared" si="3"/>
        <v>170095.83111381848</v>
      </c>
      <c r="I13" s="31"/>
      <c r="J13" s="28"/>
      <c r="K13" s="33"/>
      <c r="L13" s="31"/>
      <c r="M13" s="31"/>
      <c r="N13" s="31"/>
      <c r="O13" s="31"/>
      <c r="P13" s="31"/>
      <c r="Q13" s="32"/>
      <c r="R13" s="31"/>
      <c r="S13" s="28"/>
      <c r="T13" s="33"/>
      <c r="U13" s="31"/>
      <c r="V13" s="31"/>
      <c r="W13" s="31"/>
      <c r="X13" s="31"/>
      <c r="Y13" s="31"/>
      <c r="Z13" s="32"/>
      <c r="AA13" s="31"/>
      <c r="AB13" s="28"/>
      <c r="AC13" s="33"/>
      <c r="AD13" s="31"/>
      <c r="AE13" s="31"/>
      <c r="AF13" s="31"/>
      <c r="AG13" s="31"/>
      <c r="AH13" s="31"/>
      <c r="AI13" s="32"/>
      <c r="AJ13" s="31"/>
      <c r="AK13" s="115" t="s">
        <v>110</v>
      </c>
      <c r="AL13" s="116" t="s">
        <v>32</v>
      </c>
      <c r="AM13" s="116" t="s">
        <v>0</v>
      </c>
      <c r="AN13" s="40">
        <v>2241002</v>
      </c>
      <c r="AO13" s="40"/>
      <c r="AP13" s="40"/>
      <c r="AQ13" s="40" t="s">
        <v>251</v>
      </c>
      <c r="AR13" s="70">
        <f>SUM(E9:E20)</f>
        <v>47178.79309534029</v>
      </c>
    </row>
    <row r="14" spans="1:44" x14ac:dyDescent="0.25">
      <c r="A14" s="28">
        <v>5</v>
      </c>
      <c r="B14" s="33">
        <v>43800</v>
      </c>
      <c r="C14" s="31">
        <f t="shared" si="0"/>
        <v>4166.666666666667</v>
      </c>
      <c r="D14" s="31">
        <f t="shared" si="4"/>
        <v>4114.9716910296738</v>
      </c>
      <c r="E14" s="31">
        <f t="shared" si="1"/>
        <v>3931.5660912783574</v>
      </c>
      <c r="F14" s="31">
        <f t="shared" si="2"/>
        <v>165125.77583369098</v>
      </c>
      <c r="G14" s="31">
        <f t="shared" si="5"/>
        <v>414.82291111787958</v>
      </c>
      <c r="H14" s="32">
        <f t="shared" si="3"/>
        <v>166343.98735826969</v>
      </c>
      <c r="I14" s="31"/>
      <c r="J14" s="28"/>
      <c r="K14" s="33"/>
      <c r="L14" s="31"/>
      <c r="M14" s="31"/>
      <c r="N14" s="31"/>
      <c r="O14" s="31"/>
      <c r="P14" s="31"/>
      <c r="Q14" s="32"/>
      <c r="R14" s="31"/>
      <c r="S14" s="28"/>
      <c r="T14" s="33"/>
      <c r="U14" s="31"/>
      <c r="V14" s="31"/>
      <c r="W14" s="31"/>
      <c r="X14" s="31"/>
      <c r="Y14" s="31"/>
      <c r="Z14" s="32"/>
      <c r="AA14" s="31"/>
      <c r="AB14" s="28"/>
      <c r="AC14" s="33"/>
      <c r="AD14" s="31"/>
      <c r="AE14" s="31"/>
      <c r="AF14" s="31"/>
      <c r="AG14" s="31"/>
      <c r="AH14" s="31"/>
      <c r="AI14" s="32"/>
      <c r="AJ14" s="31"/>
      <c r="AK14" s="115"/>
      <c r="AL14" s="116"/>
      <c r="AM14" s="116" t="s">
        <v>1</v>
      </c>
      <c r="AN14" s="40">
        <v>5311002</v>
      </c>
      <c r="AO14" s="40">
        <v>7353</v>
      </c>
      <c r="AP14" s="40"/>
      <c r="AQ14" s="40" t="s">
        <v>105</v>
      </c>
      <c r="AR14" s="70">
        <f>AR13</f>
        <v>47178.79309534029</v>
      </c>
    </row>
    <row r="15" spans="1:44" x14ac:dyDescent="0.25">
      <c r="A15" s="28">
        <v>6</v>
      </c>
      <c r="B15" s="33">
        <v>43831</v>
      </c>
      <c r="C15" s="31">
        <f t="shared" si="0"/>
        <v>4166.666666666667</v>
      </c>
      <c r="D15" s="31">
        <f t="shared" si="4"/>
        <v>4104.7099162390768</v>
      </c>
      <c r="E15" s="31">
        <f t="shared" si="1"/>
        <v>3931.5660912783574</v>
      </c>
      <c r="F15" s="31">
        <f t="shared" si="2"/>
        <v>161194.20974241261</v>
      </c>
      <c r="G15" s="31">
        <f t="shared" si="5"/>
        <v>405.4433017290076</v>
      </c>
      <c r="H15" s="32">
        <f t="shared" si="3"/>
        <v>162582.76399333205</v>
      </c>
      <c r="I15" s="31"/>
      <c r="J15" s="28"/>
      <c r="K15" s="33"/>
      <c r="L15" s="31"/>
      <c r="M15" s="31"/>
      <c r="N15" s="31"/>
      <c r="O15" s="31"/>
      <c r="P15" s="31"/>
      <c r="Q15" s="32"/>
      <c r="R15" s="31"/>
      <c r="S15" s="28"/>
      <c r="T15" s="33"/>
      <c r="U15" s="31"/>
      <c r="V15" s="31"/>
      <c r="W15" s="31"/>
      <c r="X15" s="31"/>
      <c r="Y15" s="31"/>
      <c r="Z15" s="32"/>
      <c r="AA15" s="31"/>
      <c r="AB15" s="28"/>
      <c r="AC15" s="33"/>
      <c r="AD15" s="31"/>
      <c r="AE15" s="31"/>
      <c r="AF15" s="31"/>
      <c r="AG15" s="31"/>
      <c r="AH15" s="31"/>
      <c r="AI15" s="32"/>
      <c r="AJ15" s="31"/>
      <c r="AK15" s="115" t="s">
        <v>187</v>
      </c>
      <c r="AL15" s="116"/>
      <c r="AM15" s="116"/>
      <c r="AN15" s="40"/>
      <c r="AO15" s="40"/>
      <c r="AP15" s="40"/>
      <c r="AQ15" s="40"/>
      <c r="AR15" s="70"/>
    </row>
    <row r="16" spans="1:44" x14ac:dyDescent="0.25">
      <c r="A16" s="28">
        <v>7</v>
      </c>
      <c r="B16" s="33">
        <v>43862</v>
      </c>
      <c r="C16" s="31">
        <f t="shared" si="0"/>
        <v>4166.666666666667</v>
      </c>
      <c r="D16" s="31">
        <f t="shared" si="4"/>
        <v>4094.4737319093038</v>
      </c>
      <c r="E16" s="31">
        <f t="shared" si="1"/>
        <v>3931.5660912783574</v>
      </c>
      <c r="F16" s="31">
        <f t="shared" si="2"/>
        <v>157262.64365113425</v>
      </c>
      <c r="G16" s="31">
        <f t="shared" si="5"/>
        <v>396.04024331666346</v>
      </c>
      <c r="H16" s="32">
        <f t="shared" si="3"/>
        <v>158812.13756998206</v>
      </c>
      <c r="I16" s="31"/>
      <c r="J16" s="28"/>
      <c r="K16" s="33"/>
      <c r="L16" s="31"/>
      <c r="M16" s="31"/>
      <c r="N16" s="31"/>
      <c r="O16" s="31"/>
      <c r="P16" s="31"/>
      <c r="Q16" s="32"/>
      <c r="R16" s="31"/>
      <c r="S16" s="28"/>
      <c r="T16" s="33"/>
      <c r="U16" s="31"/>
      <c r="V16" s="31"/>
      <c r="W16" s="31"/>
      <c r="X16" s="31"/>
      <c r="Y16" s="31"/>
      <c r="Z16" s="32"/>
      <c r="AA16" s="31"/>
      <c r="AB16" s="28"/>
      <c r="AC16" s="33"/>
      <c r="AD16" s="31"/>
      <c r="AE16" s="31"/>
      <c r="AF16" s="31"/>
      <c r="AG16" s="31"/>
      <c r="AH16" s="31"/>
      <c r="AI16" s="32"/>
      <c r="AJ16" s="31"/>
      <c r="AK16" s="115"/>
      <c r="AL16" s="116"/>
      <c r="AM16" s="116"/>
      <c r="AN16" s="40"/>
      <c r="AO16" s="40"/>
      <c r="AP16" s="40"/>
      <c r="AQ16" s="40"/>
      <c r="AR16" s="70"/>
    </row>
    <row r="17" spans="1:44" x14ac:dyDescent="0.25">
      <c r="A17" s="28">
        <v>8</v>
      </c>
      <c r="B17" s="33">
        <v>43891</v>
      </c>
      <c r="C17" s="31">
        <f t="shared" si="0"/>
        <v>4166.666666666667</v>
      </c>
      <c r="D17" s="31">
        <f t="shared" si="4"/>
        <v>4084.2630742237438</v>
      </c>
      <c r="E17" s="31">
        <f t="shared" si="1"/>
        <v>3931.5660912783574</v>
      </c>
      <c r="F17" s="31">
        <f t="shared" si="2"/>
        <v>153331.07755985588</v>
      </c>
      <c r="G17" s="31">
        <f t="shared" si="5"/>
        <v>386.61367725828853</v>
      </c>
      <c r="H17" s="32">
        <f t="shared" si="3"/>
        <v>155032.08458057369</v>
      </c>
      <c r="I17" s="31"/>
      <c r="J17" s="28"/>
      <c r="K17" s="33"/>
      <c r="L17" s="31"/>
      <c r="M17" s="31"/>
      <c r="N17" s="31"/>
      <c r="O17" s="31"/>
      <c r="P17" s="31"/>
      <c r="Q17" s="32"/>
      <c r="R17" s="31"/>
      <c r="S17" s="28"/>
      <c r="T17" s="33"/>
      <c r="U17" s="31"/>
      <c r="V17" s="31"/>
      <c r="W17" s="31"/>
      <c r="X17" s="31"/>
      <c r="Y17" s="31"/>
      <c r="Z17" s="32"/>
      <c r="AA17" s="31"/>
      <c r="AB17" s="28"/>
      <c r="AC17" s="33"/>
      <c r="AD17" s="31"/>
      <c r="AE17" s="31"/>
      <c r="AF17" s="31"/>
      <c r="AG17" s="31"/>
      <c r="AH17" s="31"/>
      <c r="AI17" s="32"/>
      <c r="AJ17" s="31"/>
      <c r="AK17" s="115" t="s">
        <v>111</v>
      </c>
      <c r="AL17" s="116" t="s">
        <v>32</v>
      </c>
      <c r="AM17" s="116" t="s">
        <v>0</v>
      </c>
      <c r="AN17" s="40">
        <v>3240106</v>
      </c>
      <c r="AO17" s="40"/>
      <c r="AP17" s="40"/>
      <c r="AQ17" s="40" t="s">
        <v>271</v>
      </c>
      <c r="AR17" s="70">
        <f>AR19-AR18</f>
        <v>45080.042124241882</v>
      </c>
    </row>
    <row r="18" spans="1:44" x14ac:dyDescent="0.25">
      <c r="A18" s="28">
        <v>9</v>
      </c>
      <c r="B18" s="33">
        <v>43922</v>
      </c>
      <c r="C18" s="31">
        <f t="shared" si="0"/>
        <v>4166.666666666667</v>
      </c>
      <c r="D18" s="31">
        <f t="shared" si="4"/>
        <v>4074.0778795249316</v>
      </c>
      <c r="E18" s="31">
        <f t="shared" si="1"/>
        <v>3931.5660912783574</v>
      </c>
      <c r="F18" s="31">
        <f t="shared" si="2"/>
        <v>149399.51146857752</v>
      </c>
      <c r="G18" s="31">
        <f t="shared" si="5"/>
        <v>377.16354478476757</v>
      </c>
      <c r="H18" s="32">
        <f t="shared" si="3"/>
        <v>151242.5814586918</v>
      </c>
      <c r="I18" s="31"/>
      <c r="J18" s="28"/>
      <c r="K18" s="33"/>
      <c r="L18" s="31"/>
      <c r="M18" s="31"/>
      <c r="N18" s="31"/>
      <c r="O18" s="31"/>
      <c r="P18" s="31"/>
      <c r="Q18" s="32"/>
      <c r="R18" s="31"/>
      <c r="S18" s="28"/>
      <c r="T18" s="33"/>
      <c r="U18" s="31"/>
      <c r="V18" s="31"/>
      <c r="W18" s="31"/>
      <c r="X18" s="31"/>
      <c r="Y18" s="31"/>
      <c r="Z18" s="32"/>
      <c r="AA18" s="31"/>
      <c r="AB18" s="28"/>
      <c r="AC18" s="33"/>
      <c r="AD18" s="31"/>
      <c r="AE18" s="31"/>
      <c r="AF18" s="31"/>
      <c r="AG18" s="31"/>
      <c r="AH18" s="31"/>
      <c r="AI18" s="32"/>
      <c r="AJ18" s="31"/>
      <c r="AK18" s="115"/>
      <c r="AL18" s="116"/>
      <c r="AM18" s="116" t="s">
        <v>0</v>
      </c>
      <c r="AN18" s="40">
        <v>2422020</v>
      </c>
      <c r="AO18" s="40"/>
      <c r="AP18" s="40"/>
      <c r="AQ18" s="40" t="s">
        <v>161</v>
      </c>
      <c r="AR18" s="70">
        <f>SUM(G9:G20)</f>
        <v>4919.9578757581103</v>
      </c>
    </row>
    <row r="19" spans="1:44" x14ac:dyDescent="0.25">
      <c r="A19" s="28">
        <v>10</v>
      </c>
      <c r="B19" s="33">
        <v>43952</v>
      </c>
      <c r="C19" s="31">
        <f t="shared" si="0"/>
        <v>4166.666666666667</v>
      </c>
      <c r="D19" s="31">
        <f t="shared" si="4"/>
        <v>4063.9180843141467</v>
      </c>
      <c r="E19" s="31">
        <f t="shared" si="1"/>
        <v>3931.5660912783574</v>
      </c>
      <c r="F19" s="31">
        <f t="shared" si="2"/>
        <v>145467.94537729915</v>
      </c>
      <c r="G19" s="31">
        <f t="shared" si="5"/>
        <v>367.68978698006288</v>
      </c>
      <c r="H19" s="32">
        <f t="shared" si="3"/>
        <v>147443.60457900522</v>
      </c>
      <c r="I19" s="31"/>
      <c r="J19" s="28"/>
      <c r="K19" s="33"/>
      <c r="L19" s="31"/>
      <c r="M19" s="31"/>
      <c r="N19" s="31"/>
      <c r="O19" s="31"/>
      <c r="P19" s="31"/>
      <c r="Q19" s="32"/>
      <c r="R19" s="31"/>
      <c r="S19" s="28"/>
      <c r="T19" s="33"/>
      <c r="U19" s="31"/>
      <c r="V19" s="31"/>
      <c r="W19" s="31"/>
      <c r="X19" s="31"/>
      <c r="Y19" s="31"/>
      <c r="Z19" s="32"/>
      <c r="AA19" s="31"/>
      <c r="AB19" s="28"/>
      <c r="AC19" s="33"/>
      <c r="AD19" s="31"/>
      <c r="AE19" s="31"/>
      <c r="AF19" s="31"/>
      <c r="AG19" s="31"/>
      <c r="AH19" s="31"/>
      <c r="AI19" s="32"/>
      <c r="AJ19" s="31"/>
      <c r="AK19" s="115"/>
      <c r="AL19" s="116"/>
      <c r="AM19" s="116" t="s">
        <v>1</v>
      </c>
      <c r="AN19" s="40"/>
      <c r="AO19" s="40"/>
      <c r="AP19" s="40"/>
      <c r="AQ19" s="40" t="s">
        <v>31</v>
      </c>
      <c r="AR19" s="70">
        <f>SUM(C9:C20)</f>
        <v>49999.999999999993</v>
      </c>
    </row>
    <row r="20" spans="1:44" ht="15.75" thickBot="1" x14ac:dyDescent="0.3">
      <c r="A20" s="28">
        <v>11</v>
      </c>
      <c r="B20" s="33">
        <v>43983</v>
      </c>
      <c r="C20" s="31">
        <f t="shared" si="0"/>
        <v>4166.666666666667</v>
      </c>
      <c r="D20" s="31">
        <f>+C20/(1+F$1)^A20</f>
        <v>4053.7836252510201</v>
      </c>
      <c r="E20" s="31">
        <f t="shared" si="1"/>
        <v>3931.5660912783574</v>
      </c>
      <c r="F20" s="235">
        <f t="shared" si="2"/>
        <v>141536.37928602079</v>
      </c>
      <c r="G20" s="31">
        <f t="shared" si="5"/>
        <v>358.19234478084638</v>
      </c>
      <c r="H20" s="236">
        <f t="shared" si="3"/>
        <v>143635.1302571194</v>
      </c>
      <c r="I20" s="31"/>
      <c r="J20" s="28"/>
      <c r="K20" s="33"/>
      <c r="L20" s="31"/>
      <c r="M20" s="31"/>
      <c r="N20" s="31"/>
      <c r="O20" s="235">
        <f>+F20+AR21</f>
        <v>144409.08189116299</v>
      </c>
      <c r="P20" s="31"/>
      <c r="Q20" s="236">
        <f>+M57</f>
        <v>146507.8328622616</v>
      </c>
      <c r="R20" s="31"/>
      <c r="S20" s="28"/>
      <c r="T20" s="33"/>
      <c r="U20" s="31"/>
      <c r="V20" s="31"/>
      <c r="W20" s="31"/>
      <c r="X20" s="31"/>
      <c r="Y20" s="31"/>
      <c r="Z20" s="32"/>
      <c r="AA20" s="31"/>
      <c r="AB20" s="28"/>
      <c r="AC20" s="33"/>
      <c r="AD20" s="31"/>
      <c r="AE20" s="31"/>
      <c r="AF20" s="31"/>
      <c r="AG20" s="31"/>
      <c r="AH20" s="31"/>
      <c r="AI20" s="32"/>
      <c r="AJ20" s="31"/>
      <c r="AK20" s="115" t="s">
        <v>117</v>
      </c>
      <c r="AL20" s="116"/>
      <c r="AM20" s="116"/>
      <c r="AN20" s="40"/>
      <c r="AO20" s="40"/>
      <c r="AP20" s="40"/>
      <c r="AQ20" s="40"/>
      <c r="AR20" s="70"/>
    </row>
    <row r="21" spans="1:44" x14ac:dyDescent="0.25">
      <c r="A21" s="28">
        <v>12</v>
      </c>
      <c r="B21" s="33">
        <v>44013</v>
      </c>
      <c r="C21" s="31">
        <f t="shared" si="0"/>
        <v>4166.666666666667</v>
      </c>
      <c r="D21" s="31">
        <f>+C21/(1+F$1)^A21</f>
        <v>4043.6744391531365</v>
      </c>
      <c r="E21" s="31">
        <f t="shared" si="1"/>
        <v>3931.5660912783574</v>
      </c>
      <c r="F21" s="31">
        <f t="shared" si="2"/>
        <v>137604.81319474243</v>
      </c>
      <c r="G21" s="31">
        <f t="shared" si="5"/>
        <v>348.67115897613184</v>
      </c>
      <c r="H21" s="32">
        <f t="shared" si="3"/>
        <v>139817.13474942886</v>
      </c>
      <c r="I21" s="31"/>
      <c r="J21" s="28">
        <v>0</v>
      </c>
      <c r="K21" s="33">
        <v>44013</v>
      </c>
      <c r="L21" s="31">
        <f>((50000*1.02)/12)</f>
        <v>4250</v>
      </c>
      <c r="M21" s="31">
        <f>+L21/(1+F$1)^J21</f>
        <v>4250</v>
      </c>
      <c r="N21" s="31">
        <f t="shared" ref="N21:N56" si="6">+(F$20+AR$21)/36</f>
        <v>4011.3633858656385</v>
      </c>
      <c r="O21" s="31">
        <f>+O20-N21</f>
        <v>140397.71850529735</v>
      </c>
      <c r="P21" s="31">
        <f>+(M$57-L21)*F$1</f>
        <v>355.64458215565401</v>
      </c>
      <c r="Q21" s="32">
        <f>+Q20-L21+P21</f>
        <v>142613.47744441725</v>
      </c>
      <c r="R21" s="31"/>
      <c r="S21" s="28"/>
      <c r="T21" s="33"/>
      <c r="U21" s="31"/>
      <c r="V21" s="31"/>
      <c r="W21" s="31"/>
      <c r="X21" s="31"/>
      <c r="Y21" s="31"/>
      <c r="Z21" s="32"/>
      <c r="AA21" s="31"/>
      <c r="AB21" s="28"/>
      <c r="AC21" s="33"/>
      <c r="AD21" s="31"/>
      <c r="AE21" s="31"/>
      <c r="AF21" s="31"/>
      <c r="AG21" s="31"/>
      <c r="AH21" s="31"/>
      <c r="AI21" s="32"/>
      <c r="AJ21" s="31"/>
      <c r="AK21" s="124" t="s">
        <v>112</v>
      </c>
      <c r="AL21" s="126">
        <v>44013</v>
      </c>
      <c r="AM21" s="126" t="s">
        <v>0</v>
      </c>
      <c r="AN21" s="51">
        <v>5311002</v>
      </c>
      <c r="AO21" s="51">
        <v>7371</v>
      </c>
      <c r="AP21" s="51"/>
      <c r="AQ21" s="51" t="s">
        <v>146</v>
      </c>
      <c r="AR21" s="69">
        <f>+M57-H20</f>
        <v>2872.7026051421999</v>
      </c>
    </row>
    <row r="22" spans="1:44" x14ac:dyDescent="0.25">
      <c r="A22" s="28">
        <v>13</v>
      </c>
      <c r="B22" s="33">
        <v>44044</v>
      </c>
      <c r="C22" s="31">
        <f t="shared" si="0"/>
        <v>4166.666666666667</v>
      </c>
      <c r="D22" s="31">
        <f t="shared" si="4"/>
        <v>4033.5904629956472</v>
      </c>
      <c r="E22" s="31">
        <f t="shared" si="1"/>
        <v>3931.5660912783574</v>
      </c>
      <c r="F22" s="31">
        <f t="shared" si="2"/>
        <v>133673.24710346406</v>
      </c>
      <c r="G22" s="31">
        <f t="shared" si="5"/>
        <v>339.1261702069055</v>
      </c>
      <c r="H22" s="32">
        <f t="shared" si="3"/>
        <v>135989.59425296911</v>
      </c>
      <c r="I22" s="31"/>
      <c r="J22" s="28">
        <v>1</v>
      </c>
      <c r="K22" s="33">
        <v>44044</v>
      </c>
      <c r="L22" s="31">
        <f t="shared" ref="L22:L56" si="7">((50000*1.02)/12)</f>
        <v>4250</v>
      </c>
      <c r="M22" s="31">
        <f t="shared" ref="M22:M55" si="8">+L22/(1+F$1)^J22</f>
        <v>4239.4014962593519</v>
      </c>
      <c r="N22" s="31">
        <f t="shared" si="6"/>
        <v>4011.3633858656385</v>
      </c>
      <c r="O22" s="31">
        <f t="shared" ref="O22:O56" si="9">+O21-N22</f>
        <v>136386.35511943171</v>
      </c>
      <c r="P22" s="31">
        <f>+(Q21-L22)*F$1</f>
        <v>345.90869361104313</v>
      </c>
      <c r="Q22" s="32">
        <f>+Q21-L22+P22</f>
        <v>138709.38613802829</v>
      </c>
      <c r="R22" s="31"/>
      <c r="S22" s="28"/>
      <c r="T22" s="33"/>
      <c r="U22" s="31"/>
      <c r="V22" s="31"/>
      <c r="W22" s="31"/>
      <c r="X22" s="31"/>
      <c r="Y22" s="31"/>
      <c r="Z22" s="32"/>
      <c r="AA22" s="31"/>
      <c r="AB22" s="28"/>
      <c r="AC22" s="33"/>
      <c r="AD22" s="31"/>
      <c r="AE22" s="31"/>
      <c r="AF22" s="31"/>
      <c r="AG22" s="31"/>
      <c r="AH22" s="31"/>
      <c r="AI22" s="32"/>
      <c r="AJ22" s="31"/>
      <c r="AK22" s="115"/>
      <c r="AL22" s="116"/>
      <c r="AM22" s="116" t="s">
        <v>1</v>
      </c>
      <c r="AN22" s="40">
        <v>3240102</v>
      </c>
      <c r="AO22" s="40"/>
      <c r="AP22" s="40"/>
      <c r="AQ22" s="40" t="s">
        <v>270</v>
      </c>
      <c r="AR22" s="70">
        <f>AR21</f>
        <v>2872.7026051421999</v>
      </c>
    </row>
    <row r="23" spans="1:44" x14ac:dyDescent="0.25">
      <c r="A23" s="28">
        <v>14</v>
      </c>
      <c r="B23" s="33">
        <v>44075</v>
      </c>
      <c r="C23" s="31">
        <f t="shared" si="0"/>
        <v>4166.666666666667</v>
      </c>
      <c r="D23" s="31">
        <f t="shared" si="4"/>
        <v>4023.5316339108713</v>
      </c>
      <c r="E23" s="31">
        <f t="shared" si="1"/>
        <v>3931.5660912783574</v>
      </c>
      <c r="F23" s="31">
        <f t="shared" si="2"/>
        <v>129741.6810121857</v>
      </c>
      <c r="G23" s="31">
        <f t="shared" si="5"/>
        <v>329.55731896575611</v>
      </c>
      <c r="H23" s="32">
        <f t="shared" si="3"/>
        <v>132152.48490526821</v>
      </c>
      <c r="I23" s="31"/>
      <c r="J23" s="28">
        <v>2</v>
      </c>
      <c r="K23" s="33">
        <v>44075</v>
      </c>
      <c r="L23" s="31">
        <f t="shared" si="7"/>
        <v>4250</v>
      </c>
      <c r="M23" s="31">
        <f t="shared" si="8"/>
        <v>4228.8294227025954</v>
      </c>
      <c r="N23" s="31">
        <f t="shared" si="6"/>
        <v>4011.3633858656385</v>
      </c>
      <c r="O23" s="31">
        <f t="shared" si="9"/>
        <v>132374.99173356607</v>
      </c>
      <c r="P23" s="31">
        <f t="shared" ref="P23:P56" si="10">+(Q22-L23)*F$1</f>
        <v>336.14846534507075</v>
      </c>
      <c r="Q23" s="32">
        <f t="shared" ref="Q23:Q56" si="11">+Q22-L23+P23</f>
        <v>134795.53460337335</v>
      </c>
      <c r="R23" s="31"/>
      <c r="S23" s="28"/>
      <c r="T23" s="33"/>
      <c r="U23" s="31"/>
      <c r="V23" s="31"/>
      <c r="W23" s="31"/>
      <c r="X23" s="31"/>
      <c r="Y23" s="31"/>
      <c r="Z23" s="32"/>
      <c r="AA23" s="31"/>
      <c r="AB23" s="28"/>
      <c r="AC23" s="33"/>
      <c r="AD23" s="31"/>
      <c r="AE23" s="31"/>
      <c r="AF23" s="31"/>
      <c r="AG23" s="31"/>
      <c r="AH23" s="31"/>
      <c r="AI23" s="32"/>
      <c r="AJ23" s="31"/>
      <c r="AK23" s="115" t="s">
        <v>232</v>
      </c>
      <c r="AL23" s="116"/>
      <c r="AM23" s="116"/>
      <c r="AN23" s="40"/>
      <c r="AO23" s="40"/>
      <c r="AP23" s="40"/>
      <c r="AQ23" s="40"/>
      <c r="AR23" s="70"/>
    </row>
    <row r="24" spans="1:44" x14ac:dyDescent="0.25">
      <c r="A24" s="28">
        <v>15</v>
      </c>
      <c r="B24" s="33">
        <v>44105</v>
      </c>
      <c r="C24" s="31">
        <f t="shared" si="0"/>
        <v>4166.666666666667</v>
      </c>
      <c r="D24" s="31">
        <f t="shared" si="4"/>
        <v>4013.4978891879018</v>
      </c>
      <c r="E24" s="31">
        <f t="shared" si="1"/>
        <v>3931.5660912783574</v>
      </c>
      <c r="F24" s="31">
        <f t="shared" si="2"/>
        <v>125810.11492090733</v>
      </c>
      <c r="G24" s="31">
        <f t="shared" si="5"/>
        <v>319.96454559650385</v>
      </c>
      <c r="H24" s="32">
        <f t="shared" si="3"/>
        <v>128305.78278419805</v>
      </c>
      <c r="I24" s="31"/>
      <c r="J24" s="28">
        <v>3</v>
      </c>
      <c r="K24" s="33">
        <v>44105</v>
      </c>
      <c r="L24" s="31">
        <f t="shared" si="7"/>
        <v>4250</v>
      </c>
      <c r="M24" s="31">
        <f t="shared" si="8"/>
        <v>4218.2837134190486</v>
      </c>
      <c r="N24" s="31">
        <f t="shared" si="6"/>
        <v>4011.3633858656385</v>
      </c>
      <c r="O24" s="31">
        <f t="shared" si="9"/>
        <v>128363.62834770043</v>
      </c>
      <c r="P24" s="31">
        <f t="shared" si="10"/>
        <v>326.36383650843339</v>
      </c>
      <c r="Q24" s="32">
        <f t="shared" si="11"/>
        <v>130871.89843988178</v>
      </c>
      <c r="R24" s="31"/>
      <c r="S24" s="28"/>
      <c r="T24" s="33"/>
      <c r="U24" s="31"/>
      <c r="V24" s="31"/>
      <c r="W24" s="31"/>
      <c r="X24" s="31"/>
      <c r="Y24" s="31"/>
      <c r="Z24" s="32"/>
      <c r="AA24" s="31"/>
      <c r="AB24" s="28"/>
      <c r="AC24" s="33"/>
      <c r="AD24" s="31"/>
      <c r="AE24" s="31"/>
      <c r="AF24" s="31"/>
      <c r="AG24" s="31"/>
      <c r="AH24" s="31"/>
      <c r="AI24" s="32"/>
      <c r="AJ24" s="31"/>
      <c r="AK24" s="115"/>
      <c r="AL24" s="116"/>
      <c r="AM24" s="116"/>
      <c r="AN24" s="40"/>
      <c r="AO24" s="40"/>
      <c r="AP24" s="40"/>
      <c r="AQ24" s="40"/>
      <c r="AR24" s="70"/>
    </row>
    <row r="25" spans="1:44" x14ac:dyDescent="0.25">
      <c r="A25" s="28">
        <v>16</v>
      </c>
      <c r="B25" s="33">
        <v>44136</v>
      </c>
      <c r="C25" s="31">
        <f t="shared" si="0"/>
        <v>4166.666666666667</v>
      </c>
      <c r="D25" s="31">
        <f t="shared" si="4"/>
        <v>4003.4891662722207</v>
      </c>
      <c r="E25" s="31">
        <f t="shared" si="1"/>
        <v>3931.5660912783574</v>
      </c>
      <c r="F25" s="31">
        <f t="shared" si="2"/>
        <v>121878.54882962897</v>
      </c>
      <c r="G25" s="31">
        <f t="shared" si="5"/>
        <v>310.34779029382844</v>
      </c>
      <c r="H25" s="32">
        <f t="shared" si="3"/>
        <v>124449.46390782521</v>
      </c>
      <c r="I25" s="31"/>
      <c r="J25" s="28">
        <v>4</v>
      </c>
      <c r="K25" s="33">
        <v>44136</v>
      </c>
      <c r="L25" s="31">
        <f t="shared" si="7"/>
        <v>4250</v>
      </c>
      <c r="M25" s="31">
        <f t="shared" si="8"/>
        <v>4207.7643026623928</v>
      </c>
      <c r="N25" s="31">
        <f t="shared" si="6"/>
        <v>4011.3633858656385</v>
      </c>
      <c r="O25" s="31">
        <f t="shared" si="9"/>
        <v>124352.26496183479</v>
      </c>
      <c r="P25" s="31">
        <f t="shared" si="10"/>
        <v>316.55474609970446</v>
      </c>
      <c r="Q25" s="32">
        <f t="shared" si="11"/>
        <v>126938.45318598149</v>
      </c>
      <c r="R25" s="31"/>
      <c r="S25" s="28"/>
      <c r="T25" s="33"/>
      <c r="U25" s="31"/>
      <c r="V25" s="31"/>
      <c r="W25" s="31"/>
      <c r="X25" s="31"/>
      <c r="Y25" s="31"/>
      <c r="Z25" s="32"/>
      <c r="AA25" s="31"/>
      <c r="AB25" s="28"/>
      <c r="AC25" s="33"/>
      <c r="AD25" s="31"/>
      <c r="AE25" s="31"/>
      <c r="AF25" s="31"/>
      <c r="AG25" s="31"/>
      <c r="AH25" s="31"/>
      <c r="AI25" s="32"/>
      <c r="AJ25" s="31"/>
      <c r="AK25" s="115" t="s">
        <v>205</v>
      </c>
      <c r="AL25" s="116" t="s">
        <v>106</v>
      </c>
      <c r="AM25" s="116" t="s">
        <v>0</v>
      </c>
      <c r="AN25" s="40">
        <v>2241002</v>
      </c>
      <c r="AO25" s="40"/>
      <c r="AP25" s="40"/>
      <c r="AQ25" s="40" t="s">
        <v>251</v>
      </c>
      <c r="AR25" s="70">
        <f>SUM(N21:N32)</f>
        <v>48136.360630387666</v>
      </c>
    </row>
    <row r="26" spans="1:44" x14ac:dyDescent="0.25">
      <c r="A26" s="28">
        <v>17</v>
      </c>
      <c r="B26" s="33">
        <v>44166</v>
      </c>
      <c r="C26" s="31">
        <f t="shared" si="0"/>
        <v>4166.666666666667</v>
      </c>
      <c r="D26" s="31">
        <f t="shared" si="4"/>
        <v>3993.5054027653077</v>
      </c>
      <c r="E26" s="31">
        <f t="shared" si="1"/>
        <v>3931.5660912783574</v>
      </c>
      <c r="F26" s="31">
        <f t="shared" si="2"/>
        <v>117946.98273835061</v>
      </c>
      <c r="G26" s="31">
        <f t="shared" si="5"/>
        <v>300.70699310289632</v>
      </c>
      <c r="H26" s="32">
        <f t="shared" si="3"/>
        <v>120583.50423426143</v>
      </c>
      <c r="I26" s="31"/>
      <c r="J26" s="28">
        <v>5</v>
      </c>
      <c r="K26" s="33">
        <v>44166</v>
      </c>
      <c r="L26" s="31">
        <f t="shared" si="7"/>
        <v>4250</v>
      </c>
      <c r="M26" s="31">
        <f t="shared" si="8"/>
        <v>4197.2711248502665</v>
      </c>
      <c r="N26" s="31">
        <f t="shared" si="6"/>
        <v>4011.3633858656385</v>
      </c>
      <c r="O26" s="31">
        <f t="shared" si="9"/>
        <v>120340.90157596915</v>
      </c>
      <c r="P26" s="31">
        <f t="shared" si="10"/>
        <v>306.72113296495371</v>
      </c>
      <c r="Q26" s="32">
        <f t="shared" si="11"/>
        <v>122995.17431894645</v>
      </c>
      <c r="R26" s="31"/>
      <c r="S26" s="28"/>
      <c r="T26" s="33"/>
      <c r="U26" s="31"/>
      <c r="V26" s="31"/>
      <c r="W26" s="31"/>
      <c r="X26" s="31"/>
      <c r="Y26" s="31"/>
      <c r="Z26" s="32"/>
      <c r="AA26" s="31"/>
      <c r="AB26" s="28"/>
      <c r="AC26" s="33"/>
      <c r="AD26" s="31"/>
      <c r="AE26" s="31"/>
      <c r="AF26" s="31"/>
      <c r="AG26" s="31"/>
      <c r="AH26" s="31"/>
      <c r="AI26" s="32"/>
      <c r="AJ26" s="31"/>
      <c r="AK26" s="115"/>
      <c r="AL26" s="116"/>
      <c r="AM26" s="116" t="s">
        <v>1</v>
      </c>
      <c r="AN26" s="40">
        <v>5311002</v>
      </c>
      <c r="AO26" s="40">
        <v>7353</v>
      </c>
      <c r="AP26" s="40"/>
      <c r="AQ26" s="40" t="s">
        <v>105</v>
      </c>
      <c r="AR26" s="70">
        <f>AR25</f>
        <v>48136.360630387666</v>
      </c>
    </row>
    <row r="27" spans="1:44" x14ac:dyDescent="0.25">
      <c r="A27" s="28">
        <v>18</v>
      </c>
      <c r="B27" s="33">
        <v>44197</v>
      </c>
      <c r="C27" s="31">
        <f t="shared" si="0"/>
        <v>4166.666666666667</v>
      </c>
      <c r="D27" s="31">
        <f t="shared" si="4"/>
        <v>3983.5465364242468</v>
      </c>
      <c r="E27" s="31">
        <f t="shared" si="1"/>
        <v>3931.5660912783574</v>
      </c>
      <c r="F27" s="31">
        <f t="shared" si="2"/>
        <v>114015.41664707224</v>
      </c>
      <c r="G27" s="31">
        <f t="shared" si="5"/>
        <v>291.04209391898689</v>
      </c>
      <c r="H27" s="32">
        <f t="shared" si="3"/>
        <v>116707.87966151375</v>
      </c>
      <c r="I27" s="31"/>
      <c r="J27" s="28">
        <v>6</v>
      </c>
      <c r="K27" s="33">
        <v>44197</v>
      </c>
      <c r="L27" s="31">
        <f t="shared" si="7"/>
        <v>4250</v>
      </c>
      <c r="M27" s="31">
        <f t="shared" si="8"/>
        <v>4186.8041145638581</v>
      </c>
      <c r="N27" s="31">
        <f t="shared" si="6"/>
        <v>4011.3633858656385</v>
      </c>
      <c r="O27" s="31">
        <f t="shared" si="9"/>
        <v>116329.53819010351</v>
      </c>
      <c r="P27" s="31">
        <f t="shared" si="10"/>
        <v>296.86293579736611</v>
      </c>
      <c r="Q27" s="32">
        <f t="shared" si="11"/>
        <v>119042.03725474382</v>
      </c>
      <c r="R27" s="31"/>
      <c r="S27" s="28"/>
      <c r="T27" s="33"/>
      <c r="U27" s="31"/>
      <c r="V27" s="31"/>
      <c r="W27" s="31"/>
      <c r="X27" s="31"/>
      <c r="Y27" s="31"/>
      <c r="Z27" s="32"/>
      <c r="AA27" s="31"/>
      <c r="AB27" s="28"/>
      <c r="AC27" s="33"/>
      <c r="AD27" s="31"/>
      <c r="AE27" s="31"/>
      <c r="AF27" s="31"/>
      <c r="AG27" s="31"/>
      <c r="AH27" s="31"/>
      <c r="AI27" s="32"/>
      <c r="AJ27" s="31"/>
      <c r="AK27" s="139" t="s">
        <v>188</v>
      </c>
      <c r="AL27" s="115"/>
      <c r="AM27" s="115"/>
      <c r="AN27" s="116"/>
      <c r="AO27" s="40"/>
      <c r="AP27" s="40"/>
      <c r="AQ27" s="40"/>
      <c r="AR27" s="70"/>
    </row>
    <row r="28" spans="1:44" x14ac:dyDescent="0.25">
      <c r="A28" s="28">
        <v>19</v>
      </c>
      <c r="B28" s="33">
        <v>44228</v>
      </c>
      <c r="C28" s="31">
        <f t="shared" si="0"/>
        <v>4166.666666666667</v>
      </c>
      <c r="D28" s="31">
        <f t="shared" si="4"/>
        <v>3973.6125051613444</v>
      </c>
      <c r="E28" s="31">
        <f t="shared" si="1"/>
        <v>3931.5660912783574</v>
      </c>
      <c r="F28" s="31">
        <f t="shared" si="2"/>
        <v>110083.85055579388</v>
      </c>
      <c r="G28" s="31">
        <f t="shared" si="5"/>
        <v>281.35303248711773</v>
      </c>
      <c r="H28" s="32">
        <f t="shared" si="3"/>
        <v>112822.56602733421</v>
      </c>
      <c r="I28" s="31"/>
      <c r="J28" s="28">
        <v>7</v>
      </c>
      <c r="K28" s="33">
        <v>44228</v>
      </c>
      <c r="L28" s="31">
        <f t="shared" si="7"/>
        <v>4250</v>
      </c>
      <c r="M28" s="31">
        <f t="shared" si="8"/>
        <v>4176.3632065474894</v>
      </c>
      <c r="N28" s="31">
        <f t="shared" si="6"/>
        <v>4011.3633858656385</v>
      </c>
      <c r="O28" s="31">
        <f t="shared" si="9"/>
        <v>112318.17480423787</v>
      </c>
      <c r="P28" s="31">
        <f t="shared" si="10"/>
        <v>286.98009313685952</v>
      </c>
      <c r="Q28" s="32">
        <f t="shared" si="11"/>
        <v>115079.01734788068</v>
      </c>
      <c r="R28" s="31"/>
      <c r="S28" s="28"/>
      <c r="T28" s="33"/>
      <c r="U28" s="31"/>
      <c r="V28" s="31"/>
      <c r="W28" s="31"/>
      <c r="X28" s="31"/>
      <c r="Y28" s="31"/>
      <c r="Z28" s="32"/>
      <c r="AA28" s="31"/>
      <c r="AB28" s="28"/>
      <c r="AC28" s="33"/>
      <c r="AD28" s="31"/>
      <c r="AE28" s="31"/>
      <c r="AF28" s="31"/>
      <c r="AG28" s="31"/>
      <c r="AH28" s="31"/>
      <c r="AI28" s="32"/>
      <c r="AJ28" s="31"/>
      <c r="AK28" s="115"/>
      <c r="AL28" s="116"/>
      <c r="AM28" s="116"/>
      <c r="AN28" s="40"/>
      <c r="AO28" s="40"/>
      <c r="AP28" s="40"/>
      <c r="AQ28" s="40"/>
      <c r="AR28" s="70"/>
    </row>
    <row r="29" spans="1:44" x14ac:dyDescent="0.25">
      <c r="A29" s="28">
        <v>20</v>
      </c>
      <c r="B29" s="33">
        <v>44256</v>
      </c>
      <c r="C29" s="31">
        <f t="shared" si="0"/>
        <v>4166.666666666667</v>
      </c>
      <c r="D29" s="31">
        <f t="shared" si="4"/>
        <v>3963.7032470437348</v>
      </c>
      <c r="E29" s="31">
        <f t="shared" si="1"/>
        <v>3931.5660912783574</v>
      </c>
      <c r="F29" s="31">
        <f t="shared" si="2"/>
        <v>106152.28446451551</v>
      </c>
      <c r="G29" s="31">
        <f t="shared" si="5"/>
        <v>271.63974840166884</v>
      </c>
      <c r="H29" s="32">
        <f t="shared" si="3"/>
        <v>108927.5391090692</v>
      </c>
      <c r="I29" s="31"/>
      <c r="J29" s="28">
        <v>8</v>
      </c>
      <c r="K29" s="33">
        <v>44256</v>
      </c>
      <c r="L29" s="31">
        <f t="shared" si="7"/>
        <v>4250</v>
      </c>
      <c r="M29" s="31">
        <f t="shared" si="8"/>
        <v>4165.948335708219</v>
      </c>
      <c r="N29" s="31">
        <f t="shared" si="6"/>
        <v>4011.3633858656385</v>
      </c>
      <c r="O29" s="31">
        <f t="shared" si="9"/>
        <v>108306.81141837224</v>
      </c>
      <c r="P29" s="31">
        <f t="shared" si="10"/>
        <v>277.07254336970169</v>
      </c>
      <c r="Q29" s="32">
        <f t="shared" si="11"/>
        <v>111106.08989125039</v>
      </c>
      <c r="R29" s="31"/>
      <c r="S29" s="28"/>
      <c r="T29" s="33"/>
      <c r="U29" s="31"/>
      <c r="V29" s="31"/>
      <c r="W29" s="31"/>
      <c r="X29" s="31"/>
      <c r="Y29" s="31"/>
      <c r="Z29" s="32"/>
      <c r="AA29" s="31"/>
      <c r="AB29" s="28"/>
      <c r="AC29" s="33"/>
      <c r="AD29" s="31"/>
      <c r="AE29" s="31"/>
      <c r="AF29" s="31"/>
      <c r="AG29" s="31"/>
      <c r="AH29" s="31"/>
      <c r="AI29" s="32"/>
      <c r="AJ29" s="31"/>
      <c r="AK29" s="134" t="s">
        <v>114</v>
      </c>
      <c r="AL29" s="116" t="s">
        <v>106</v>
      </c>
      <c r="AM29" s="116" t="s">
        <v>0</v>
      </c>
      <c r="AN29" s="116">
        <v>3240106</v>
      </c>
      <c r="AO29" s="116"/>
      <c r="AP29" s="40"/>
      <c r="AQ29" s="40" t="s">
        <v>271</v>
      </c>
      <c r="AR29" s="70">
        <f>AR31-AR30</f>
        <v>47380.218638014972</v>
      </c>
    </row>
    <row r="30" spans="1:44" x14ac:dyDescent="0.25">
      <c r="A30" s="28">
        <v>21</v>
      </c>
      <c r="B30" s="33">
        <v>44287</v>
      </c>
      <c r="C30" s="31">
        <f t="shared" si="0"/>
        <v>4166.666666666667</v>
      </c>
      <c r="D30" s="31">
        <f t="shared" si="4"/>
        <v>3953.8187002930026</v>
      </c>
      <c r="E30" s="31">
        <f t="shared" si="1"/>
        <v>3931.5660912783574</v>
      </c>
      <c r="F30" s="31">
        <f t="shared" si="2"/>
        <v>102220.71837323715</v>
      </c>
      <c r="G30" s="31">
        <f t="shared" si="5"/>
        <v>261.90218110600631</v>
      </c>
      <c r="H30" s="32">
        <f t="shared" si="3"/>
        <v>105022.77462350854</v>
      </c>
      <c r="I30" s="31"/>
      <c r="J30" s="28">
        <v>9</v>
      </c>
      <c r="K30" s="33">
        <v>44287</v>
      </c>
      <c r="L30" s="31">
        <f t="shared" si="7"/>
        <v>4250</v>
      </c>
      <c r="M30" s="31">
        <f t="shared" si="8"/>
        <v>4155.5594371154302</v>
      </c>
      <c r="N30" s="31">
        <f t="shared" si="6"/>
        <v>4011.3633858656385</v>
      </c>
      <c r="O30" s="31">
        <f t="shared" si="9"/>
        <v>104295.4480325066</v>
      </c>
      <c r="P30" s="31">
        <f t="shared" si="10"/>
        <v>267.14022472812599</v>
      </c>
      <c r="Q30" s="32">
        <f t="shared" si="11"/>
        <v>107123.23011597851</v>
      </c>
      <c r="R30" s="31"/>
      <c r="S30" s="28"/>
      <c r="T30" s="33"/>
      <c r="U30" s="31"/>
      <c r="V30" s="31"/>
      <c r="W30" s="31"/>
      <c r="X30" s="31"/>
      <c r="Y30" s="31"/>
      <c r="Z30" s="32"/>
      <c r="AA30" s="31"/>
      <c r="AB30" s="28"/>
      <c r="AC30" s="33"/>
      <c r="AD30" s="31"/>
      <c r="AE30" s="31"/>
      <c r="AF30" s="31"/>
      <c r="AG30" s="31"/>
      <c r="AH30" s="31"/>
      <c r="AI30" s="32"/>
      <c r="AJ30" s="31"/>
      <c r="AK30" s="115"/>
      <c r="AL30" s="116"/>
      <c r="AM30" s="116" t="s">
        <v>0</v>
      </c>
      <c r="AN30" s="40">
        <v>2422020</v>
      </c>
      <c r="AO30" s="40"/>
      <c r="AP30" s="40"/>
      <c r="AQ30" s="40" t="s">
        <v>161</v>
      </c>
      <c r="AR30" s="70">
        <f>SUM(P21:P32)</f>
        <v>3619.7813619850303</v>
      </c>
    </row>
    <row r="31" spans="1:44" x14ac:dyDescent="0.25">
      <c r="A31" s="28">
        <v>22</v>
      </c>
      <c r="B31" s="33">
        <v>44317</v>
      </c>
      <c r="C31" s="31">
        <f t="shared" si="0"/>
        <v>4166.666666666667</v>
      </c>
      <c r="D31" s="31">
        <f t="shared" si="4"/>
        <v>3943.9588032847914</v>
      </c>
      <c r="E31" s="31">
        <f t="shared" si="1"/>
        <v>3931.5660912783574</v>
      </c>
      <c r="F31" s="31">
        <f t="shared" si="2"/>
        <v>98289.152281958784</v>
      </c>
      <c r="G31" s="31">
        <f t="shared" si="5"/>
        <v>252.14026989210467</v>
      </c>
      <c r="H31" s="32">
        <f t="shared" si="3"/>
        <v>101108.24822673397</v>
      </c>
      <c r="I31" s="31"/>
      <c r="J31" s="28">
        <v>10</v>
      </c>
      <c r="K31" s="33">
        <v>44317</v>
      </c>
      <c r="L31" s="31">
        <f t="shared" si="7"/>
        <v>4250</v>
      </c>
      <c r="M31" s="31">
        <f t="shared" si="8"/>
        <v>4145.1964460004292</v>
      </c>
      <c r="N31" s="31">
        <f t="shared" si="6"/>
        <v>4011.3633858656385</v>
      </c>
      <c r="O31" s="31">
        <f t="shared" si="9"/>
        <v>100284.08464664096</v>
      </c>
      <c r="P31" s="31">
        <f t="shared" si="10"/>
        <v>257.18307528994626</v>
      </c>
      <c r="Q31" s="32">
        <f t="shared" si="11"/>
        <v>103130.41319126845</v>
      </c>
      <c r="R31" s="31"/>
      <c r="S31" s="28"/>
      <c r="T31" s="33"/>
      <c r="U31" s="31"/>
      <c r="V31" s="31"/>
      <c r="W31" s="31"/>
      <c r="X31" s="31"/>
      <c r="Y31" s="31"/>
      <c r="Z31" s="32"/>
      <c r="AA31" s="31"/>
      <c r="AB31" s="28"/>
      <c r="AC31" s="33"/>
      <c r="AD31" s="31"/>
      <c r="AE31" s="31"/>
      <c r="AF31" s="31"/>
      <c r="AG31" s="31"/>
      <c r="AH31" s="31"/>
      <c r="AI31" s="32"/>
      <c r="AJ31" s="31"/>
      <c r="AK31" s="115"/>
      <c r="AL31" s="116"/>
      <c r="AM31" s="116" t="s">
        <v>1</v>
      </c>
      <c r="AN31" s="40"/>
      <c r="AO31" s="40"/>
      <c r="AP31" s="40"/>
      <c r="AQ31" s="40" t="s">
        <v>31</v>
      </c>
      <c r="AR31" s="70">
        <f>SUM(L21:L32)</f>
        <v>51000</v>
      </c>
    </row>
    <row r="32" spans="1:44" ht="15.75" thickBot="1" x14ac:dyDescent="0.3">
      <c r="A32" s="28">
        <v>23</v>
      </c>
      <c r="B32" s="33">
        <v>44348</v>
      </c>
      <c r="C32" s="31">
        <f t="shared" si="0"/>
        <v>4166.666666666667</v>
      </c>
      <c r="D32" s="31">
        <f>+C32/(1+F$1)^A32</f>
        <v>3934.1234945484202</v>
      </c>
      <c r="E32" s="31">
        <f t="shared" si="1"/>
        <v>3931.5660912783574</v>
      </c>
      <c r="F32" s="31">
        <f t="shared" si="2"/>
        <v>94357.58619068042</v>
      </c>
      <c r="G32" s="31">
        <f t="shared" si="5"/>
        <v>242.35395390016825</v>
      </c>
      <c r="H32" s="32">
        <f t="shared" si="3"/>
        <v>97183.935513967459</v>
      </c>
      <c r="I32" s="31"/>
      <c r="J32" s="28">
        <v>11</v>
      </c>
      <c r="K32" s="33">
        <v>44348</v>
      </c>
      <c r="L32" s="31">
        <f t="shared" si="7"/>
        <v>4250</v>
      </c>
      <c r="M32" s="31">
        <f t="shared" si="8"/>
        <v>4134.8592977560402</v>
      </c>
      <c r="N32" s="31">
        <f t="shared" si="6"/>
        <v>4011.3633858656385</v>
      </c>
      <c r="O32" s="31">
        <f t="shared" si="9"/>
        <v>96272.721260775317</v>
      </c>
      <c r="P32" s="31">
        <f t="shared" si="10"/>
        <v>247.20103297817113</v>
      </c>
      <c r="Q32" s="32">
        <f t="shared" si="11"/>
        <v>99127.61422424663</v>
      </c>
      <c r="R32" s="31"/>
      <c r="S32" s="28"/>
      <c r="T32" s="33"/>
      <c r="U32" s="31"/>
      <c r="V32" s="31"/>
      <c r="W32" s="31"/>
      <c r="X32" s="30">
        <f>+O32+AR33</f>
        <v>97263.997403017696</v>
      </c>
      <c r="Y32" s="31"/>
      <c r="Z32" s="34">
        <f>+V57</f>
        <v>100118.89036648901</v>
      </c>
      <c r="AA32" s="31"/>
      <c r="AB32" s="28"/>
      <c r="AC32" s="33"/>
      <c r="AD32" s="31"/>
      <c r="AE32" s="31"/>
      <c r="AF32" s="31"/>
      <c r="AG32" s="31"/>
      <c r="AH32" s="31"/>
      <c r="AI32" s="32"/>
      <c r="AJ32" s="31"/>
      <c r="AK32" s="115" t="s">
        <v>119</v>
      </c>
      <c r="AL32" s="116"/>
      <c r="AM32" s="116"/>
      <c r="AN32" s="40"/>
      <c r="AO32" s="40"/>
      <c r="AP32" s="40"/>
      <c r="AQ32" s="40"/>
      <c r="AR32" s="70"/>
    </row>
    <row r="33" spans="1:44" x14ac:dyDescent="0.25">
      <c r="A33" s="28">
        <v>24</v>
      </c>
      <c r="B33" s="33">
        <v>44378</v>
      </c>
      <c r="C33" s="31">
        <f t="shared" si="0"/>
        <v>4166.666666666667</v>
      </c>
      <c r="D33" s="31">
        <f t="shared" si="4"/>
        <v>3924.3127127665043</v>
      </c>
      <c r="E33" s="31">
        <f t="shared" si="1"/>
        <v>3931.5660912783574</v>
      </c>
      <c r="F33" s="31">
        <f t="shared" si="2"/>
        <v>90426.020099402056</v>
      </c>
      <c r="G33" s="31">
        <f t="shared" si="5"/>
        <v>232.54317211825196</v>
      </c>
      <c r="H33" s="32">
        <f t="shared" si="3"/>
        <v>93249.812019419041</v>
      </c>
      <c r="I33" s="31"/>
      <c r="J33" s="28">
        <v>12</v>
      </c>
      <c r="K33" s="33">
        <v>44378</v>
      </c>
      <c r="L33" s="31">
        <f t="shared" si="7"/>
        <v>4250</v>
      </c>
      <c r="M33" s="31">
        <f t="shared" si="8"/>
        <v>4124.5479279361989</v>
      </c>
      <c r="N33" s="31">
        <f t="shared" si="6"/>
        <v>4011.3633858656385</v>
      </c>
      <c r="O33" s="31">
        <f t="shared" si="9"/>
        <v>92261.357874909678</v>
      </c>
      <c r="P33" s="31">
        <f t="shared" si="10"/>
        <v>237.19403556061658</v>
      </c>
      <c r="Q33" s="32">
        <f t="shared" si="11"/>
        <v>95114.808259807251</v>
      </c>
      <c r="R33" s="31"/>
      <c r="S33" s="28">
        <v>0</v>
      </c>
      <c r="T33" s="33">
        <v>44378</v>
      </c>
      <c r="U33" s="31">
        <f>((50000*1.02*1.01)/12)</f>
        <v>4292.5</v>
      </c>
      <c r="V33" s="31">
        <f>+U33/(1+F$1)^S33</f>
        <v>4292.5</v>
      </c>
      <c r="W33" s="31">
        <f t="shared" ref="W33:W56" si="12">+(O$32+AR$33)/24</f>
        <v>4052.6665584590705</v>
      </c>
      <c r="X33" s="31">
        <f>+X32-W33</f>
        <v>93211.33084455863</v>
      </c>
      <c r="Y33" s="31">
        <f>+(V57-U33)*F$1</f>
        <v>239.56597591622253</v>
      </c>
      <c r="Z33" s="32">
        <f>+Z32-U33+Y33</f>
        <v>96065.956342405232</v>
      </c>
      <c r="AA33" s="31"/>
      <c r="AB33" s="28"/>
      <c r="AC33" s="33"/>
      <c r="AD33" s="31"/>
      <c r="AE33" s="31"/>
      <c r="AF33" s="31"/>
      <c r="AG33" s="31"/>
      <c r="AH33" s="31"/>
      <c r="AI33" s="32"/>
      <c r="AJ33" s="31"/>
      <c r="AK33" s="124" t="s">
        <v>116</v>
      </c>
      <c r="AL33" s="126">
        <v>44378</v>
      </c>
      <c r="AM33" s="126" t="s">
        <v>0</v>
      </c>
      <c r="AN33" s="51">
        <v>5311002</v>
      </c>
      <c r="AO33" s="51">
        <v>7371</v>
      </c>
      <c r="AP33" s="51"/>
      <c r="AQ33" s="51" t="s">
        <v>146</v>
      </c>
      <c r="AR33" s="69">
        <f>+V$57-Q$32</f>
        <v>991.27614224237914</v>
      </c>
    </row>
    <row r="34" spans="1:44" x14ac:dyDescent="0.25">
      <c r="A34" s="28">
        <v>25</v>
      </c>
      <c r="B34" s="33">
        <v>44409</v>
      </c>
      <c r="C34" s="31">
        <f t="shared" si="0"/>
        <v>4166.666666666667</v>
      </c>
      <c r="D34" s="31">
        <f t="shared" si="4"/>
        <v>3914.5263967745673</v>
      </c>
      <c r="E34" s="31">
        <f t="shared" si="1"/>
        <v>3931.5660912783574</v>
      </c>
      <c r="F34" s="31">
        <f t="shared" si="2"/>
        <v>86494.454008123692</v>
      </c>
      <c r="G34" s="31">
        <f t="shared" si="5"/>
        <v>222.70786338188094</v>
      </c>
      <c r="H34" s="32">
        <f t="shared" si="3"/>
        <v>89305.853216134245</v>
      </c>
      <c r="I34" s="31"/>
      <c r="J34" s="28">
        <v>13</v>
      </c>
      <c r="K34" s="33">
        <v>44409</v>
      </c>
      <c r="L34" s="31">
        <f t="shared" si="7"/>
        <v>4250</v>
      </c>
      <c r="M34" s="31">
        <f t="shared" si="8"/>
        <v>4114.2622722555598</v>
      </c>
      <c r="N34" s="31">
        <f t="shared" si="6"/>
        <v>4011.3633858656385</v>
      </c>
      <c r="O34" s="31">
        <f t="shared" si="9"/>
        <v>88249.994489044038</v>
      </c>
      <c r="P34" s="31">
        <f t="shared" si="10"/>
        <v>227.16202064951813</v>
      </c>
      <c r="Q34" s="32">
        <f t="shared" si="11"/>
        <v>91091.970280456764</v>
      </c>
      <c r="R34" s="31"/>
      <c r="S34" s="28">
        <v>1</v>
      </c>
      <c r="T34" s="33">
        <v>44409</v>
      </c>
      <c r="U34" s="31">
        <f t="shared" ref="U34:U56" si="13">((50000*1.02*1.01)/12)</f>
        <v>4292.5</v>
      </c>
      <c r="V34" s="31">
        <f t="shared" ref="V34:V55" si="14">+U34/(1+F$1)^S34</f>
        <v>4281.7955112219452</v>
      </c>
      <c r="W34" s="31">
        <f t="shared" si="12"/>
        <v>4052.6665584590705</v>
      </c>
      <c r="X34" s="31">
        <f t="shared" ref="X34:X56" si="15">+X33-W34</f>
        <v>89158.664286099563</v>
      </c>
      <c r="Y34" s="31">
        <f>+(Z33-U34)*F$1</f>
        <v>229.43364085601308</v>
      </c>
      <c r="Z34" s="32">
        <f t="shared" ref="Z34:Z56" si="16">+Z33-U34+Y34</f>
        <v>92002.889983261251</v>
      </c>
      <c r="AA34" s="31"/>
      <c r="AB34" s="28"/>
      <c r="AC34" s="33"/>
      <c r="AD34" s="31"/>
      <c r="AE34" s="31"/>
      <c r="AF34" s="31"/>
      <c r="AG34" s="31"/>
      <c r="AH34" s="31"/>
      <c r="AI34" s="32"/>
      <c r="AJ34" s="31"/>
      <c r="AK34" s="115"/>
      <c r="AL34" s="116"/>
      <c r="AM34" s="116" t="s">
        <v>1</v>
      </c>
      <c r="AN34" s="40">
        <v>3240102</v>
      </c>
      <c r="AO34" s="40"/>
      <c r="AP34" s="40"/>
      <c r="AQ34" s="40" t="s">
        <v>270</v>
      </c>
      <c r="AR34" s="70">
        <f>AR33</f>
        <v>991.27614224237914</v>
      </c>
    </row>
    <row r="35" spans="1:44" x14ac:dyDescent="0.25">
      <c r="A35" s="28">
        <v>26</v>
      </c>
      <c r="B35" s="33">
        <v>44440</v>
      </c>
      <c r="C35" s="31">
        <f t="shared" si="0"/>
        <v>4166.666666666667</v>
      </c>
      <c r="D35" s="31">
        <f t="shared" si="4"/>
        <v>3904.7644855606659</v>
      </c>
      <c r="E35" s="31">
        <f t="shared" si="1"/>
        <v>3931.5660912783574</v>
      </c>
      <c r="F35" s="31">
        <f t="shared" si="2"/>
        <v>82562.887916845328</v>
      </c>
      <c r="G35" s="31">
        <f t="shared" si="5"/>
        <v>212.84796637366892</v>
      </c>
      <c r="H35" s="32">
        <f t="shared" si="3"/>
        <v>85352.034515841238</v>
      </c>
      <c r="I35" s="31"/>
      <c r="J35" s="28">
        <v>14</v>
      </c>
      <c r="K35" s="33">
        <v>44440</v>
      </c>
      <c r="L35" s="31">
        <f t="shared" si="7"/>
        <v>4250</v>
      </c>
      <c r="M35" s="31">
        <f t="shared" si="8"/>
        <v>4104.0022665890883</v>
      </c>
      <c r="N35" s="31">
        <f t="shared" si="6"/>
        <v>4011.3633858656385</v>
      </c>
      <c r="O35" s="31">
        <f t="shared" si="9"/>
        <v>84238.631103178399</v>
      </c>
      <c r="P35" s="31">
        <f t="shared" si="10"/>
        <v>217.10492570114192</v>
      </c>
      <c r="Q35" s="32">
        <f t="shared" si="11"/>
        <v>87059.075206157911</v>
      </c>
      <c r="R35" s="31"/>
      <c r="S35" s="28">
        <v>2</v>
      </c>
      <c r="T35" s="33">
        <v>44440</v>
      </c>
      <c r="U35" s="31">
        <f t="shared" si="13"/>
        <v>4292.5</v>
      </c>
      <c r="V35" s="31">
        <f t="shared" si="14"/>
        <v>4271.1177169296216</v>
      </c>
      <c r="W35" s="31">
        <f t="shared" si="12"/>
        <v>4052.6665584590705</v>
      </c>
      <c r="X35" s="31">
        <f t="shared" si="15"/>
        <v>85105.997727640497</v>
      </c>
      <c r="Y35" s="31">
        <f t="shared" ref="Y35:Y56" si="17">+(Z34-U35)*F$1</f>
        <v>219.27597495815314</v>
      </c>
      <c r="Z35" s="32">
        <f t="shared" si="16"/>
        <v>87929.665958219412</v>
      </c>
      <c r="AA35" s="31"/>
      <c r="AB35" s="28"/>
      <c r="AC35" s="33"/>
      <c r="AD35" s="31"/>
      <c r="AE35" s="31"/>
      <c r="AF35" s="31"/>
      <c r="AG35" s="31"/>
      <c r="AH35" s="31"/>
      <c r="AI35" s="32"/>
      <c r="AJ35" s="31"/>
      <c r="AK35" s="115" t="s">
        <v>231</v>
      </c>
      <c r="AL35" s="116"/>
      <c r="AM35" s="116"/>
      <c r="AN35" s="40"/>
      <c r="AO35" s="40"/>
      <c r="AP35" s="40"/>
      <c r="AQ35" s="40"/>
      <c r="AR35" s="70"/>
    </row>
    <row r="36" spans="1:44" x14ac:dyDescent="0.25">
      <c r="A36" s="28">
        <v>27</v>
      </c>
      <c r="B36" s="33">
        <v>44470</v>
      </c>
      <c r="C36" s="31">
        <f t="shared" si="0"/>
        <v>4166.666666666667</v>
      </c>
      <c r="D36" s="31">
        <f t="shared" si="4"/>
        <v>3895.026918265004</v>
      </c>
      <c r="E36" s="31">
        <f t="shared" si="1"/>
        <v>3931.5660912783574</v>
      </c>
      <c r="F36" s="31">
        <f t="shared" si="2"/>
        <v>78631.321825566964</v>
      </c>
      <c r="G36" s="31">
        <f t="shared" si="5"/>
        <v>202.96341962293641</v>
      </c>
      <c r="H36" s="32">
        <f t="shared" si="3"/>
        <v>81388.331268797498</v>
      </c>
      <c r="I36" s="31"/>
      <c r="J36" s="28">
        <v>15</v>
      </c>
      <c r="K36" s="33">
        <v>44470</v>
      </c>
      <c r="L36" s="31">
        <f t="shared" si="7"/>
        <v>4250</v>
      </c>
      <c r="M36" s="31">
        <f t="shared" si="8"/>
        <v>4093.7678469716593</v>
      </c>
      <c r="N36" s="31">
        <f t="shared" si="6"/>
        <v>4011.3633858656385</v>
      </c>
      <c r="O36" s="31">
        <f t="shared" si="9"/>
        <v>80227.267717312759</v>
      </c>
      <c r="P36" s="31">
        <f t="shared" si="10"/>
        <v>207.02268801539478</v>
      </c>
      <c r="Q36" s="32">
        <f t="shared" si="11"/>
        <v>83016.097894173305</v>
      </c>
      <c r="R36" s="31"/>
      <c r="S36" s="28">
        <v>3</v>
      </c>
      <c r="T36" s="33">
        <v>44470</v>
      </c>
      <c r="U36" s="31">
        <f t="shared" si="13"/>
        <v>4292.5</v>
      </c>
      <c r="V36" s="31">
        <f t="shared" si="14"/>
        <v>4260.4665505532394</v>
      </c>
      <c r="W36" s="31">
        <f t="shared" si="12"/>
        <v>4052.6665584590705</v>
      </c>
      <c r="X36" s="31">
        <f t="shared" si="15"/>
        <v>81053.331169181431</v>
      </c>
      <c r="Y36" s="31">
        <f t="shared" si="17"/>
        <v>209.09291489554855</v>
      </c>
      <c r="Z36" s="32">
        <f t="shared" si="16"/>
        <v>83846.258873114959</v>
      </c>
      <c r="AA36" s="31"/>
      <c r="AB36" s="28"/>
      <c r="AC36" s="33"/>
      <c r="AD36" s="31"/>
      <c r="AE36" s="31"/>
      <c r="AF36" s="31"/>
      <c r="AG36" s="31"/>
      <c r="AH36" s="31"/>
      <c r="AI36" s="32"/>
      <c r="AJ36" s="31"/>
      <c r="AK36" s="115"/>
      <c r="AL36" s="116"/>
      <c r="AM36" s="116"/>
      <c r="AN36" s="40"/>
      <c r="AO36" s="40"/>
      <c r="AP36" s="40"/>
      <c r="AQ36" s="40"/>
      <c r="AR36" s="70"/>
    </row>
    <row r="37" spans="1:44" x14ac:dyDescent="0.25">
      <c r="A37" s="28">
        <v>28</v>
      </c>
      <c r="B37" s="33">
        <v>44501</v>
      </c>
      <c r="C37" s="31">
        <f t="shared" si="0"/>
        <v>4166.666666666667</v>
      </c>
      <c r="D37" s="31">
        <f t="shared" si="4"/>
        <v>3885.3136341795553</v>
      </c>
      <c r="E37" s="31">
        <f t="shared" si="1"/>
        <v>3931.5660912783574</v>
      </c>
      <c r="F37" s="31">
        <f t="shared" si="2"/>
        <v>74699.755734288599</v>
      </c>
      <c r="G37" s="31">
        <f t="shared" si="5"/>
        <v>193.05416150532707</v>
      </c>
      <c r="H37" s="32">
        <f t="shared" si="3"/>
        <v>77414.718763636149</v>
      </c>
      <c r="I37" s="31"/>
      <c r="J37" s="28">
        <v>16</v>
      </c>
      <c r="K37" s="33">
        <v>44501</v>
      </c>
      <c r="L37" s="31">
        <f t="shared" si="7"/>
        <v>4250</v>
      </c>
      <c r="M37" s="31">
        <f t="shared" si="8"/>
        <v>4083.5589495976647</v>
      </c>
      <c r="N37" s="31">
        <f t="shared" si="6"/>
        <v>4011.3633858656385</v>
      </c>
      <c r="O37" s="31">
        <f t="shared" si="9"/>
        <v>76215.90433144712</v>
      </c>
      <c r="P37" s="31">
        <f t="shared" si="10"/>
        <v>196.91524473543328</v>
      </c>
      <c r="Q37" s="32">
        <f t="shared" si="11"/>
        <v>78963.013138908733</v>
      </c>
      <c r="R37" s="31"/>
      <c r="S37" s="28">
        <v>4</v>
      </c>
      <c r="T37" s="33">
        <v>44501</v>
      </c>
      <c r="U37" s="31">
        <f t="shared" si="13"/>
        <v>4292.5</v>
      </c>
      <c r="V37" s="31">
        <f t="shared" si="14"/>
        <v>4249.841945689016</v>
      </c>
      <c r="W37" s="31">
        <f t="shared" si="12"/>
        <v>4052.6665584590705</v>
      </c>
      <c r="X37" s="31">
        <f t="shared" si="15"/>
        <v>77000.664610722364</v>
      </c>
      <c r="Y37" s="31">
        <f t="shared" si="17"/>
        <v>198.88439718278741</v>
      </c>
      <c r="Z37" s="32">
        <f t="shared" si="16"/>
        <v>79752.643270297747</v>
      </c>
      <c r="AA37" s="31"/>
      <c r="AB37" s="28"/>
      <c r="AC37" s="33"/>
      <c r="AD37" s="31"/>
      <c r="AE37" s="31"/>
      <c r="AF37" s="31"/>
      <c r="AG37" s="31"/>
      <c r="AH37" s="31"/>
      <c r="AI37" s="32"/>
      <c r="AJ37" s="31"/>
      <c r="AK37" s="115" t="s">
        <v>118</v>
      </c>
      <c r="AL37" s="116" t="s">
        <v>107</v>
      </c>
      <c r="AM37" s="116" t="s">
        <v>0</v>
      </c>
      <c r="AN37" s="40">
        <v>2241002</v>
      </c>
      <c r="AO37" s="40"/>
      <c r="AP37" s="40"/>
      <c r="AQ37" s="40" t="s">
        <v>251</v>
      </c>
      <c r="AR37" s="70">
        <f>SUM(W33:W44)</f>
        <v>48631.998701508855</v>
      </c>
    </row>
    <row r="38" spans="1:44" x14ac:dyDescent="0.25">
      <c r="A38" s="28">
        <v>29</v>
      </c>
      <c r="B38" s="33">
        <v>44531</v>
      </c>
      <c r="C38" s="31">
        <f t="shared" si="0"/>
        <v>4166.666666666667</v>
      </c>
      <c r="D38" s="31">
        <f t="shared" si="4"/>
        <v>3875.6245727476853</v>
      </c>
      <c r="E38" s="31">
        <f t="shared" si="1"/>
        <v>3931.5660912783574</v>
      </c>
      <c r="F38" s="31">
        <f t="shared" si="2"/>
        <v>70768.189643010235</v>
      </c>
      <c r="G38" s="31">
        <f t="shared" si="5"/>
        <v>183.1201302424237</v>
      </c>
      <c r="H38" s="32">
        <f t="shared" si="3"/>
        <v>73431.172227211908</v>
      </c>
      <c r="I38" s="31"/>
      <c r="J38" s="28">
        <v>17</v>
      </c>
      <c r="K38" s="33">
        <v>44531</v>
      </c>
      <c r="L38" s="31">
        <f t="shared" si="7"/>
        <v>4250</v>
      </c>
      <c r="M38" s="31">
        <f t="shared" si="8"/>
        <v>4073.3755108206137</v>
      </c>
      <c r="N38" s="31">
        <f t="shared" si="6"/>
        <v>4011.3633858656385</v>
      </c>
      <c r="O38" s="31">
        <f t="shared" si="9"/>
        <v>72204.540945581481</v>
      </c>
      <c r="P38" s="31">
        <f t="shared" si="10"/>
        <v>186.78253284727182</v>
      </c>
      <c r="Q38" s="32">
        <f t="shared" si="11"/>
        <v>74899.795671756001</v>
      </c>
      <c r="R38" s="31"/>
      <c r="S38" s="28">
        <v>5</v>
      </c>
      <c r="T38" s="33">
        <v>44531</v>
      </c>
      <c r="U38" s="31">
        <f t="shared" si="13"/>
        <v>4292.5</v>
      </c>
      <c r="V38" s="31">
        <f t="shared" si="14"/>
        <v>4239.243836098769</v>
      </c>
      <c r="W38" s="31">
        <f t="shared" si="12"/>
        <v>4052.6665584590705</v>
      </c>
      <c r="X38" s="31">
        <f t="shared" si="15"/>
        <v>72947.998052263298</v>
      </c>
      <c r="Y38" s="31">
        <f t="shared" si="17"/>
        <v>188.65035817574437</v>
      </c>
      <c r="Z38" s="32">
        <f t="shared" si="16"/>
        <v>75648.79362847349</v>
      </c>
      <c r="AA38" s="31"/>
      <c r="AB38" s="28"/>
      <c r="AC38" s="33"/>
      <c r="AD38" s="31"/>
      <c r="AE38" s="31"/>
      <c r="AF38" s="31"/>
      <c r="AG38" s="31"/>
      <c r="AH38" s="31"/>
      <c r="AI38" s="32"/>
      <c r="AJ38" s="31"/>
      <c r="AK38" s="115"/>
      <c r="AL38" s="116"/>
      <c r="AM38" s="116" t="s">
        <v>1</v>
      </c>
      <c r="AN38" s="40">
        <v>5311002</v>
      </c>
      <c r="AO38" s="40">
        <v>7353</v>
      </c>
      <c r="AP38" s="40"/>
      <c r="AQ38" s="40" t="s">
        <v>105</v>
      </c>
      <c r="AR38" s="70">
        <f>AR37</f>
        <v>48631.998701508855</v>
      </c>
    </row>
    <row r="39" spans="1:44" x14ac:dyDescent="0.25">
      <c r="A39" s="28">
        <v>30</v>
      </c>
      <c r="B39" s="33">
        <v>44562</v>
      </c>
      <c r="C39" s="31">
        <f t="shared" si="0"/>
        <v>4166.666666666667</v>
      </c>
      <c r="D39" s="31">
        <f t="shared" si="4"/>
        <v>3865.959673563777</v>
      </c>
      <c r="E39" s="31">
        <f t="shared" si="1"/>
        <v>3931.5660912783574</v>
      </c>
      <c r="F39" s="31">
        <f t="shared" si="2"/>
        <v>66836.623551731871</v>
      </c>
      <c r="G39" s="31">
        <f t="shared" si="5"/>
        <v>173.1612639013631</v>
      </c>
      <c r="H39" s="32">
        <f t="shared" si="3"/>
        <v>69437.666824446598</v>
      </c>
      <c r="I39" s="31"/>
      <c r="J39" s="28">
        <v>18</v>
      </c>
      <c r="K39" s="33">
        <v>44562</v>
      </c>
      <c r="L39" s="31">
        <f t="shared" si="7"/>
        <v>4250</v>
      </c>
      <c r="M39" s="31">
        <f t="shared" si="8"/>
        <v>4063.2174671527318</v>
      </c>
      <c r="N39" s="31">
        <f t="shared" si="6"/>
        <v>4011.3633858656385</v>
      </c>
      <c r="O39" s="31">
        <f t="shared" si="9"/>
        <v>68193.177559715841</v>
      </c>
      <c r="P39" s="31">
        <f t="shared" si="10"/>
        <v>176.62448917939</v>
      </c>
      <c r="Q39" s="32">
        <f t="shared" si="11"/>
        <v>70826.420160935391</v>
      </c>
      <c r="R39" s="31"/>
      <c r="S39" s="28">
        <v>6</v>
      </c>
      <c r="T39" s="33">
        <v>44562</v>
      </c>
      <c r="U39" s="31">
        <f t="shared" si="13"/>
        <v>4292.5</v>
      </c>
      <c r="V39" s="31">
        <f t="shared" si="14"/>
        <v>4228.6721557094961</v>
      </c>
      <c r="W39" s="31">
        <f t="shared" si="12"/>
        <v>4052.6665584590705</v>
      </c>
      <c r="X39" s="31">
        <f t="shared" si="15"/>
        <v>68895.331493804231</v>
      </c>
      <c r="Y39" s="31">
        <f t="shared" si="17"/>
        <v>178.39073407118372</v>
      </c>
      <c r="Z39" s="32">
        <f t="shared" si="16"/>
        <v>71534.684362544678</v>
      </c>
      <c r="AA39" s="31"/>
      <c r="AB39" s="28"/>
      <c r="AC39" s="33"/>
      <c r="AD39" s="31"/>
      <c r="AE39" s="31"/>
      <c r="AF39" s="31"/>
      <c r="AG39" s="31"/>
      <c r="AH39" s="31"/>
      <c r="AI39" s="32"/>
      <c r="AJ39" s="31"/>
      <c r="AK39" s="115" t="s">
        <v>193</v>
      </c>
      <c r="AL39" s="116"/>
      <c r="AM39" s="116"/>
      <c r="AN39" s="40"/>
      <c r="AO39" s="40"/>
      <c r="AP39" s="40"/>
      <c r="AQ39" s="40"/>
      <c r="AR39" s="70"/>
    </row>
    <row r="40" spans="1:44" x14ac:dyDescent="0.25">
      <c r="A40" s="28">
        <v>31</v>
      </c>
      <c r="B40" s="33">
        <v>44593</v>
      </c>
      <c r="C40" s="31">
        <f t="shared" si="0"/>
        <v>4166.666666666667</v>
      </c>
      <c r="D40" s="31">
        <f t="shared" si="4"/>
        <v>3856.3188763728454</v>
      </c>
      <c r="E40" s="31">
        <f t="shared" si="1"/>
        <v>3931.5660912783574</v>
      </c>
      <c r="F40" s="31">
        <f t="shared" si="2"/>
        <v>62905.057460453514</v>
      </c>
      <c r="G40" s="31">
        <f t="shared" si="5"/>
        <v>163.17750039444985</v>
      </c>
      <c r="H40" s="32">
        <f t="shared" si="3"/>
        <v>65434.177658174383</v>
      </c>
      <c r="I40" s="31"/>
      <c r="J40" s="28">
        <v>19</v>
      </c>
      <c r="K40" s="33">
        <v>44593</v>
      </c>
      <c r="L40" s="31">
        <f t="shared" si="7"/>
        <v>4250</v>
      </c>
      <c r="M40" s="31">
        <f t="shared" si="8"/>
        <v>4053.084755264571</v>
      </c>
      <c r="N40" s="31">
        <f t="shared" si="6"/>
        <v>4011.3633858656385</v>
      </c>
      <c r="O40" s="31">
        <f t="shared" si="9"/>
        <v>64181.814173850202</v>
      </c>
      <c r="P40" s="31">
        <f t="shared" si="10"/>
        <v>166.44105040233848</v>
      </c>
      <c r="Q40" s="32">
        <f t="shared" si="11"/>
        <v>66742.861211337731</v>
      </c>
      <c r="R40" s="31"/>
      <c r="S40" s="28">
        <v>7</v>
      </c>
      <c r="T40" s="33">
        <v>44593</v>
      </c>
      <c r="U40" s="31">
        <f t="shared" si="13"/>
        <v>4292.5</v>
      </c>
      <c r="V40" s="31">
        <f t="shared" si="14"/>
        <v>4218.1268386129641</v>
      </c>
      <c r="W40" s="31">
        <f t="shared" si="12"/>
        <v>4052.6665584590705</v>
      </c>
      <c r="X40" s="31">
        <f t="shared" si="15"/>
        <v>64842.664935345158</v>
      </c>
      <c r="Y40" s="31">
        <f t="shared" si="17"/>
        <v>168.10546090636169</v>
      </c>
      <c r="Z40" s="32">
        <f t="shared" si="16"/>
        <v>67410.289823451036</v>
      </c>
      <c r="AA40" s="31"/>
      <c r="AB40" s="28"/>
      <c r="AC40" s="33"/>
      <c r="AD40" s="31"/>
      <c r="AE40" s="31"/>
      <c r="AF40" s="31"/>
      <c r="AG40" s="31"/>
      <c r="AH40" s="31"/>
      <c r="AI40" s="32"/>
      <c r="AJ40" s="31"/>
      <c r="AK40" s="115"/>
      <c r="AL40" s="116"/>
      <c r="AM40" s="116"/>
      <c r="AN40" s="40"/>
      <c r="AO40" s="40"/>
      <c r="AP40" s="40"/>
      <c r="AQ40" s="40"/>
      <c r="AR40" s="70"/>
    </row>
    <row r="41" spans="1:44" x14ac:dyDescent="0.25">
      <c r="A41" s="28">
        <v>32</v>
      </c>
      <c r="B41" s="33">
        <v>44621</v>
      </c>
      <c r="C41" s="31">
        <f t="shared" si="0"/>
        <v>4166.666666666667</v>
      </c>
      <c r="D41" s="31">
        <f t="shared" si="4"/>
        <v>3846.7021210701691</v>
      </c>
      <c r="E41" s="31">
        <f t="shared" si="1"/>
        <v>3931.5660912783574</v>
      </c>
      <c r="F41" s="31">
        <f t="shared" si="2"/>
        <v>58973.491369175157</v>
      </c>
      <c r="G41" s="31">
        <f t="shared" si="5"/>
        <v>153.1687774787693</v>
      </c>
      <c r="H41" s="32">
        <f t="shared" si="3"/>
        <v>61420.679768986491</v>
      </c>
      <c r="I41" s="31"/>
      <c r="J41" s="28">
        <v>20</v>
      </c>
      <c r="K41" s="33">
        <v>44621</v>
      </c>
      <c r="L41" s="31">
        <f t="shared" si="7"/>
        <v>4250</v>
      </c>
      <c r="M41" s="31">
        <f t="shared" si="8"/>
        <v>4042.9773119846091</v>
      </c>
      <c r="N41" s="31">
        <f t="shared" si="6"/>
        <v>4011.3633858656385</v>
      </c>
      <c r="O41" s="31">
        <f t="shared" si="9"/>
        <v>60170.450787984562</v>
      </c>
      <c r="P41" s="31">
        <f t="shared" si="10"/>
        <v>156.23215302834433</v>
      </c>
      <c r="Q41" s="32">
        <f t="shared" si="11"/>
        <v>62649.093364366076</v>
      </c>
      <c r="R41" s="31"/>
      <c r="S41" s="28">
        <v>8</v>
      </c>
      <c r="T41" s="33">
        <v>44621</v>
      </c>
      <c r="U41" s="31">
        <f t="shared" si="13"/>
        <v>4292.5</v>
      </c>
      <c r="V41" s="31">
        <f t="shared" si="14"/>
        <v>4207.6078190653006</v>
      </c>
      <c r="W41" s="31">
        <f t="shared" si="12"/>
        <v>4052.6665584590705</v>
      </c>
      <c r="X41" s="31">
        <f t="shared" si="15"/>
        <v>60789.998376886084</v>
      </c>
      <c r="Y41" s="31">
        <f t="shared" si="17"/>
        <v>157.7944745586276</v>
      </c>
      <c r="Z41" s="32">
        <f t="shared" si="16"/>
        <v>63275.584298009664</v>
      </c>
      <c r="AA41" s="31"/>
      <c r="AB41" s="28"/>
      <c r="AC41" s="33"/>
      <c r="AD41" s="31"/>
      <c r="AE41" s="31"/>
      <c r="AF41" s="31"/>
      <c r="AG41" s="31"/>
      <c r="AH41" s="31"/>
      <c r="AI41" s="32"/>
      <c r="AJ41" s="31"/>
      <c r="AK41" s="115" t="s">
        <v>120</v>
      </c>
      <c r="AL41" s="116" t="s">
        <v>107</v>
      </c>
      <c r="AM41" s="116" t="s">
        <v>0</v>
      </c>
      <c r="AN41" s="40">
        <v>3240106</v>
      </c>
      <c r="AO41" s="40"/>
      <c r="AP41" s="40"/>
      <c r="AQ41" s="40" t="s">
        <v>271</v>
      </c>
      <c r="AR41" s="70">
        <f>AR43-AR42</f>
        <v>49309.546659928004</v>
      </c>
    </row>
    <row r="42" spans="1:44" x14ac:dyDescent="0.25">
      <c r="A42" s="28">
        <v>33</v>
      </c>
      <c r="B42" s="33">
        <v>44652</v>
      </c>
      <c r="C42" s="31">
        <f t="shared" si="0"/>
        <v>4166.666666666667</v>
      </c>
      <c r="D42" s="31">
        <f t="shared" si="4"/>
        <v>3837.1093477009172</v>
      </c>
      <c r="E42" s="31">
        <f t="shared" si="1"/>
        <v>3931.5660912783574</v>
      </c>
      <c r="F42" s="31">
        <f t="shared" si="2"/>
        <v>55041.9252778968</v>
      </c>
      <c r="G42" s="31">
        <f t="shared" si="5"/>
        <v>143.13503275579956</v>
      </c>
      <c r="H42" s="32">
        <f t="shared" si="3"/>
        <v>57397.148135075629</v>
      </c>
      <c r="I42" s="31"/>
      <c r="J42" s="28">
        <v>21</v>
      </c>
      <c r="K42" s="33">
        <v>44652</v>
      </c>
      <c r="L42" s="31">
        <f t="shared" si="7"/>
        <v>4250</v>
      </c>
      <c r="M42" s="31">
        <f t="shared" si="8"/>
        <v>4032.8950742988623</v>
      </c>
      <c r="N42" s="31">
        <f t="shared" si="6"/>
        <v>4011.3633858656385</v>
      </c>
      <c r="O42" s="31">
        <f t="shared" si="9"/>
        <v>56159.087402118923</v>
      </c>
      <c r="P42" s="31">
        <f t="shared" si="10"/>
        <v>145.9977334109152</v>
      </c>
      <c r="Q42" s="32">
        <f t="shared" si="11"/>
        <v>58545.091097776989</v>
      </c>
      <c r="R42" s="31"/>
      <c r="S42" s="28">
        <v>9</v>
      </c>
      <c r="T42" s="33">
        <v>44652</v>
      </c>
      <c r="U42" s="31">
        <f t="shared" si="13"/>
        <v>4292.5</v>
      </c>
      <c r="V42" s="31">
        <f t="shared" si="14"/>
        <v>4197.1150314865845</v>
      </c>
      <c r="W42" s="31">
        <f t="shared" si="12"/>
        <v>4052.6665584590705</v>
      </c>
      <c r="X42" s="31">
        <f t="shared" si="15"/>
        <v>56737.33181842701</v>
      </c>
      <c r="Y42" s="31">
        <f t="shared" si="17"/>
        <v>147.45771074502417</v>
      </c>
      <c r="Z42" s="32">
        <f t="shared" si="16"/>
        <v>59130.542008754688</v>
      </c>
      <c r="AA42" s="31"/>
      <c r="AB42" s="28"/>
      <c r="AC42" s="33"/>
      <c r="AD42" s="31"/>
      <c r="AE42" s="31"/>
      <c r="AF42" s="31"/>
      <c r="AG42" s="31"/>
      <c r="AH42" s="31"/>
      <c r="AI42" s="32"/>
      <c r="AJ42" s="31"/>
      <c r="AK42" s="115"/>
      <c r="AL42" s="116"/>
      <c r="AM42" s="116" t="s">
        <v>0</v>
      </c>
      <c r="AN42" s="40">
        <v>2422020</v>
      </c>
      <c r="AO42" s="40"/>
      <c r="AP42" s="40"/>
      <c r="AQ42" s="40" t="s">
        <v>161</v>
      </c>
      <c r="AR42" s="70">
        <f>SUM(Y33:Y44)</f>
        <v>2200.4533400719947</v>
      </c>
    </row>
    <row r="43" spans="1:44" x14ac:dyDescent="0.25">
      <c r="A43" s="28">
        <v>34</v>
      </c>
      <c r="B43" s="33">
        <v>44682</v>
      </c>
      <c r="C43" s="31">
        <f t="shared" si="0"/>
        <v>4166.666666666667</v>
      </c>
      <c r="D43" s="31">
        <f t="shared" si="4"/>
        <v>3827.5404964597683</v>
      </c>
      <c r="E43" s="31">
        <f t="shared" si="1"/>
        <v>3931.5660912783574</v>
      </c>
      <c r="F43" s="31">
        <f t="shared" si="2"/>
        <v>51110.359186618443</v>
      </c>
      <c r="G43" s="31">
        <f t="shared" si="5"/>
        <v>133.07620367102243</v>
      </c>
      <c r="H43" s="32">
        <f t="shared" si="3"/>
        <v>53363.557672079987</v>
      </c>
      <c r="I43" s="31"/>
      <c r="J43" s="28">
        <v>22</v>
      </c>
      <c r="K43" s="33">
        <v>44682</v>
      </c>
      <c r="L43" s="31">
        <f t="shared" si="7"/>
        <v>4250</v>
      </c>
      <c r="M43" s="31">
        <f t="shared" si="8"/>
        <v>4022.8379793504869</v>
      </c>
      <c r="N43" s="31">
        <f t="shared" si="6"/>
        <v>4011.3633858656385</v>
      </c>
      <c r="O43" s="31">
        <f t="shared" si="9"/>
        <v>52147.724016253283</v>
      </c>
      <c r="P43" s="31">
        <f t="shared" si="10"/>
        <v>135.73772774444248</v>
      </c>
      <c r="Q43" s="32">
        <f t="shared" si="11"/>
        <v>54430.828825521428</v>
      </c>
      <c r="R43" s="31"/>
      <c r="S43" s="28">
        <v>10</v>
      </c>
      <c r="T43" s="33">
        <v>44682</v>
      </c>
      <c r="U43" s="31">
        <f t="shared" si="13"/>
        <v>4292.5</v>
      </c>
      <c r="V43" s="31">
        <f t="shared" si="14"/>
        <v>4186.6484104604333</v>
      </c>
      <c r="W43" s="31">
        <f t="shared" si="12"/>
        <v>4052.6665584590705</v>
      </c>
      <c r="X43" s="31">
        <f t="shared" si="15"/>
        <v>52684.665259967936</v>
      </c>
      <c r="Y43" s="31">
        <f t="shared" si="17"/>
        <v>137.09510502188672</v>
      </c>
      <c r="Z43" s="32">
        <f t="shared" si="16"/>
        <v>54975.137113776575</v>
      </c>
      <c r="AA43" s="31"/>
      <c r="AB43" s="28"/>
      <c r="AC43" s="33"/>
      <c r="AD43" s="31"/>
      <c r="AE43" s="31"/>
      <c r="AF43" s="31"/>
      <c r="AG43" s="31"/>
      <c r="AH43" s="31"/>
      <c r="AI43" s="32"/>
      <c r="AJ43" s="31"/>
      <c r="AK43" s="115"/>
      <c r="AL43" s="116"/>
      <c r="AM43" s="116" t="s">
        <v>1</v>
      </c>
      <c r="AN43" s="40"/>
      <c r="AO43" s="40"/>
      <c r="AP43" s="40"/>
      <c r="AQ43" s="40" t="s">
        <v>31</v>
      </c>
      <c r="AR43" s="70">
        <f>SUM(U33:U44)</f>
        <v>51510</v>
      </c>
    </row>
    <row r="44" spans="1:44" ht="15.75" thickBot="1" x14ac:dyDescent="0.3">
      <c r="A44" s="28">
        <v>35</v>
      </c>
      <c r="B44" s="33">
        <v>44713</v>
      </c>
      <c r="C44" s="31">
        <f t="shared" si="0"/>
        <v>4166.666666666667</v>
      </c>
      <c r="D44" s="31">
        <f t="shared" si="4"/>
        <v>3817.9955076905421</v>
      </c>
      <c r="E44" s="31">
        <f t="shared" si="1"/>
        <v>3931.5660912783574</v>
      </c>
      <c r="F44" s="31">
        <f t="shared" si="2"/>
        <v>47178.793095340086</v>
      </c>
      <c r="G44" s="31">
        <f t="shared" si="5"/>
        <v>122.99222751353331</v>
      </c>
      <c r="H44" s="32">
        <f t="shared" si="3"/>
        <v>49319.883232926855</v>
      </c>
      <c r="I44" s="31"/>
      <c r="J44" s="28">
        <v>23</v>
      </c>
      <c r="K44" s="33">
        <v>44713</v>
      </c>
      <c r="L44" s="31">
        <f t="shared" si="7"/>
        <v>4250</v>
      </c>
      <c r="M44" s="31">
        <f t="shared" si="8"/>
        <v>4012.8059644393884</v>
      </c>
      <c r="N44" s="31">
        <f t="shared" si="6"/>
        <v>4011.3633858656385</v>
      </c>
      <c r="O44" s="31">
        <f t="shared" si="9"/>
        <v>48136.360630387644</v>
      </c>
      <c r="P44" s="31">
        <f t="shared" si="10"/>
        <v>125.45207206380357</v>
      </c>
      <c r="Q44" s="32">
        <f t="shared" si="11"/>
        <v>50306.280897585231</v>
      </c>
      <c r="R44" s="31"/>
      <c r="S44" s="28">
        <v>11</v>
      </c>
      <c r="T44" s="33">
        <v>44713</v>
      </c>
      <c r="U44" s="31">
        <f t="shared" si="13"/>
        <v>4292.5</v>
      </c>
      <c r="V44" s="31">
        <f t="shared" si="14"/>
        <v>4176.2078907336008</v>
      </c>
      <c r="W44" s="31">
        <f t="shared" si="12"/>
        <v>4052.6665584590705</v>
      </c>
      <c r="X44" s="31">
        <f t="shared" si="15"/>
        <v>48631.998701508863</v>
      </c>
      <c r="Y44" s="31">
        <f t="shared" si="17"/>
        <v>126.70659278444144</v>
      </c>
      <c r="Z44" s="32">
        <f t="shared" si="16"/>
        <v>50809.343706561012</v>
      </c>
      <c r="AA44" s="31"/>
      <c r="AB44" s="28"/>
      <c r="AC44" s="33"/>
      <c r="AD44" s="31"/>
      <c r="AE44" s="31"/>
      <c r="AF44" s="31"/>
      <c r="AG44" s="30">
        <f>+X44+AR45</f>
        <v>50156.279012705665</v>
      </c>
      <c r="AH44" s="31"/>
      <c r="AI44" s="34">
        <f>+AE57</f>
        <v>52333.624017757815</v>
      </c>
      <c r="AJ44" s="31"/>
      <c r="AK44" s="115" t="s">
        <v>121</v>
      </c>
      <c r="AL44" s="116"/>
      <c r="AM44" s="116"/>
      <c r="AN44" s="40"/>
      <c r="AO44" s="40"/>
      <c r="AP44" s="40"/>
      <c r="AQ44" s="40"/>
      <c r="AR44" s="70"/>
    </row>
    <row r="45" spans="1:44" x14ac:dyDescent="0.25">
      <c r="A45" s="28">
        <v>36</v>
      </c>
      <c r="B45" s="33">
        <v>44743</v>
      </c>
      <c r="C45" s="31">
        <f t="shared" si="0"/>
        <v>4166.666666666667</v>
      </c>
      <c r="D45" s="31">
        <f t="shared" si="4"/>
        <v>3808.4743218858271</v>
      </c>
      <c r="E45" s="31">
        <f t="shared" si="1"/>
        <v>3931.5660912783574</v>
      </c>
      <c r="F45" s="31">
        <f t="shared" si="2"/>
        <v>43247.22700406173</v>
      </c>
      <c r="G45" s="31">
        <f t="shared" si="5"/>
        <v>112.88304141565048</v>
      </c>
      <c r="H45" s="32">
        <f t="shared" si="3"/>
        <v>45266.099607675838</v>
      </c>
      <c r="I45" s="31"/>
      <c r="J45" s="28">
        <v>24</v>
      </c>
      <c r="K45" s="33">
        <v>44743</v>
      </c>
      <c r="L45" s="31">
        <f t="shared" si="7"/>
        <v>4250</v>
      </c>
      <c r="M45" s="31">
        <f t="shared" si="8"/>
        <v>4002.798967021834</v>
      </c>
      <c r="N45" s="31">
        <f t="shared" si="6"/>
        <v>4011.3633858656385</v>
      </c>
      <c r="O45" s="31">
        <f t="shared" si="9"/>
        <v>44124.997244522005</v>
      </c>
      <c r="P45" s="31">
        <f t="shared" si="10"/>
        <v>115.14070224396308</v>
      </c>
      <c r="Q45" s="32">
        <f t="shared" si="11"/>
        <v>46171.421599829191</v>
      </c>
      <c r="R45" s="31"/>
      <c r="S45" s="28">
        <v>12</v>
      </c>
      <c r="T45" s="33">
        <v>44743</v>
      </c>
      <c r="U45" s="31">
        <f t="shared" si="13"/>
        <v>4292.5</v>
      </c>
      <c r="V45" s="31">
        <f t="shared" si="14"/>
        <v>4165.7934072155613</v>
      </c>
      <c r="W45" s="31">
        <f t="shared" si="12"/>
        <v>4052.6665584590705</v>
      </c>
      <c r="X45" s="31">
        <f t="shared" si="15"/>
        <v>44579.332143049789</v>
      </c>
      <c r="Y45" s="31">
        <f t="shared" si="17"/>
        <v>116.29210926640253</v>
      </c>
      <c r="Z45" s="32">
        <f t="shared" si="16"/>
        <v>46633.135815827416</v>
      </c>
      <c r="AA45" s="31"/>
      <c r="AB45" s="28">
        <v>0</v>
      </c>
      <c r="AC45" s="33">
        <v>44743</v>
      </c>
      <c r="AD45" s="31">
        <f>((50000*1.02*1.01*1.03)/12)</f>
        <v>4421.2750000000005</v>
      </c>
      <c r="AE45" s="31">
        <f>+AD45/(1+F$1)^AB45</f>
        <v>4421.2750000000005</v>
      </c>
      <c r="AF45" s="31">
        <f t="shared" ref="AF45:AF56" si="18">+(X$44+AR$45)/12</f>
        <v>4179.6899177254718</v>
      </c>
      <c r="AG45" s="31">
        <f>+AG44-AF45</f>
        <v>45976.589094980191</v>
      </c>
      <c r="AH45" s="31">
        <f>+(AE57-AD45)*F$1</f>
        <v>119.78087254439454</v>
      </c>
      <c r="AI45" s="32">
        <f>+AI44-AD45+AH45</f>
        <v>48032.129890302211</v>
      </c>
      <c r="AJ45" s="31"/>
      <c r="AK45" s="124" t="s">
        <v>122</v>
      </c>
      <c r="AL45" s="126">
        <v>44743</v>
      </c>
      <c r="AM45" s="126" t="s">
        <v>0</v>
      </c>
      <c r="AN45" s="51">
        <v>5311002</v>
      </c>
      <c r="AO45" s="51">
        <v>7371</v>
      </c>
      <c r="AP45" s="51"/>
      <c r="AQ45" s="51" t="s">
        <v>146</v>
      </c>
      <c r="AR45" s="69">
        <f>+AE$57-Z$44</f>
        <v>1524.2803111968024</v>
      </c>
    </row>
    <row r="46" spans="1:44" x14ac:dyDescent="0.25">
      <c r="A46" s="28">
        <v>37</v>
      </c>
      <c r="B46" s="33">
        <v>44774</v>
      </c>
      <c r="C46" s="31">
        <f t="shared" si="0"/>
        <v>4166.666666666667</v>
      </c>
      <c r="D46" s="31">
        <f t="shared" si="4"/>
        <v>3798.9768796866106</v>
      </c>
      <c r="E46" s="31">
        <f t="shared" si="1"/>
        <v>3931.5660912783574</v>
      </c>
      <c r="F46" s="31">
        <f t="shared" si="2"/>
        <v>39315.660912783373</v>
      </c>
      <c r="G46" s="31">
        <f t="shared" si="5"/>
        <v>102.74858235252293</v>
      </c>
      <c r="H46" s="32">
        <f t="shared" si="3"/>
        <v>41202.181523361694</v>
      </c>
      <c r="I46" s="31"/>
      <c r="J46" s="28">
        <v>25</v>
      </c>
      <c r="K46" s="33">
        <v>44774</v>
      </c>
      <c r="L46" s="31">
        <f t="shared" si="7"/>
        <v>4250</v>
      </c>
      <c r="M46" s="31">
        <f t="shared" si="8"/>
        <v>3992.8169247100586</v>
      </c>
      <c r="N46" s="31">
        <f t="shared" si="6"/>
        <v>4011.3633858656385</v>
      </c>
      <c r="O46" s="31">
        <f t="shared" si="9"/>
        <v>40113.633858656365</v>
      </c>
      <c r="P46" s="31">
        <f t="shared" si="10"/>
        <v>104.80355399957298</v>
      </c>
      <c r="Q46" s="32">
        <f t="shared" si="11"/>
        <v>42026.225153828767</v>
      </c>
      <c r="R46" s="31"/>
      <c r="S46" s="28">
        <v>13</v>
      </c>
      <c r="T46" s="33">
        <v>44774</v>
      </c>
      <c r="U46" s="31">
        <f t="shared" si="13"/>
        <v>4292.5</v>
      </c>
      <c r="V46" s="31">
        <f t="shared" si="14"/>
        <v>4155.4048949781154</v>
      </c>
      <c r="W46" s="31">
        <f t="shared" si="12"/>
        <v>4052.6665584590705</v>
      </c>
      <c r="X46" s="31">
        <f t="shared" si="15"/>
        <v>40526.665584590715</v>
      </c>
      <c r="Y46" s="31">
        <f t="shared" si="17"/>
        <v>105.85158953956854</v>
      </c>
      <c r="Z46" s="32">
        <f t="shared" si="16"/>
        <v>42446.487405366985</v>
      </c>
      <c r="AA46" s="31"/>
      <c r="AB46" s="28">
        <v>1</v>
      </c>
      <c r="AC46" s="33">
        <v>44774</v>
      </c>
      <c r="AD46" s="31">
        <f t="shared" ref="AD46:AD56" si="19">((50000*1.02*1.01*1.03)/12)</f>
        <v>4421.2750000000005</v>
      </c>
      <c r="AE46" s="31">
        <f>+AD46/(1+F$1)^AB46</f>
        <v>4410.2493765586041</v>
      </c>
      <c r="AF46" s="31">
        <f t="shared" si="18"/>
        <v>4179.6899177254718</v>
      </c>
      <c r="AG46" s="31">
        <f t="shared" ref="AG46:AG56" si="20">+AG45-AF46</f>
        <v>41796.899177254716</v>
      </c>
      <c r="AH46" s="31">
        <f>+(AI45-AD46)*F$1</f>
        <v>109.02713722575552</v>
      </c>
      <c r="AI46" s="32">
        <f t="shared" ref="AI46:AI56" si="21">+AI45-AD46+AH46</f>
        <v>43719.882027527965</v>
      </c>
      <c r="AJ46" s="31"/>
      <c r="AK46" s="115"/>
      <c r="AL46" s="116"/>
      <c r="AM46" s="116" t="s">
        <v>1</v>
      </c>
      <c r="AN46" s="40">
        <v>3240102</v>
      </c>
      <c r="AO46" s="40"/>
      <c r="AP46" s="40"/>
      <c r="AQ46" s="40" t="s">
        <v>270</v>
      </c>
      <c r="AR46" s="70">
        <f>AR45</f>
        <v>1524.2803111968024</v>
      </c>
    </row>
    <row r="47" spans="1:44" x14ac:dyDescent="0.25">
      <c r="A47" s="28">
        <v>38</v>
      </c>
      <c r="B47" s="33">
        <v>44805</v>
      </c>
      <c r="C47" s="31">
        <f t="shared" si="0"/>
        <v>4166.666666666667</v>
      </c>
      <c r="D47" s="31">
        <f t="shared" si="4"/>
        <v>3789.5031218819067</v>
      </c>
      <c r="E47" s="31">
        <f t="shared" si="1"/>
        <v>3931.5660912783574</v>
      </c>
      <c r="F47" s="31">
        <f t="shared" si="2"/>
        <v>35384.094821505016</v>
      </c>
      <c r="G47" s="31">
        <f t="shared" si="5"/>
        <v>92.588787141737583</v>
      </c>
      <c r="H47" s="32">
        <f t="shared" si="3"/>
        <v>37128.103643836766</v>
      </c>
      <c r="I47" s="31"/>
      <c r="J47" s="28">
        <v>26</v>
      </c>
      <c r="K47" s="33">
        <v>44805</v>
      </c>
      <c r="L47" s="31">
        <f t="shared" si="7"/>
        <v>4250</v>
      </c>
      <c r="M47" s="31">
        <f t="shared" si="8"/>
        <v>3982.8597752718788</v>
      </c>
      <c r="N47" s="31">
        <f t="shared" si="6"/>
        <v>4011.3633858656385</v>
      </c>
      <c r="O47" s="31">
        <f t="shared" si="9"/>
        <v>36102.270472790726</v>
      </c>
      <c r="P47" s="31">
        <f t="shared" si="10"/>
        <v>94.440562884571918</v>
      </c>
      <c r="Q47" s="32">
        <f t="shared" si="11"/>
        <v>37870.665716713338</v>
      </c>
      <c r="R47" s="31"/>
      <c r="S47" s="28">
        <v>14</v>
      </c>
      <c r="T47" s="33">
        <v>44805</v>
      </c>
      <c r="U47" s="31">
        <f t="shared" si="13"/>
        <v>4292.5</v>
      </c>
      <c r="V47" s="31">
        <f t="shared" si="14"/>
        <v>4145.0422892549796</v>
      </c>
      <c r="W47" s="31">
        <f t="shared" si="12"/>
        <v>4052.6665584590705</v>
      </c>
      <c r="X47" s="31">
        <f t="shared" si="15"/>
        <v>36473.999026131642</v>
      </c>
      <c r="Y47" s="31">
        <f t="shared" si="17"/>
        <v>95.384968513417462</v>
      </c>
      <c r="Z47" s="32">
        <f t="shared" si="16"/>
        <v>38249.372373880404</v>
      </c>
      <c r="AA47" s="31"/>
      <c r="AB47" s="28">
        <v>2</v>
      </c>
      <c r="AC47" s="33">
        <v>44805</v>
      </c>
      <c r="AD47" s="31">
        <f t="shared" si="19"/>
        <v>4421.2750000000005</v>
      </c>
      <c r="AE47" s="31">
        <f>+AD47/(1+F$1)^AB47</f>
        <v>4399.2512484375111</v>
      </c>
      <c r="AF47" s="31">
        <f t="shared" si="18"/>
        <v>4179.6899177254718</v>
      </c>
      <c r="AG47" s="31">
        <f t="shared" si="20"/>
        <v>37617.209259529242</v>
      </c>
      <c r="AH47" s="31">
        <f t="shared" ref="AH47:AH56" si="22">+(AI46-AD47)*F$1</f>
        <v>98.246517568819911</v>
      </c>
      <c r="AI47" s="32">
        <f t="shared" si="21"/>
        <v>39396.853545096783</v>
      </c>
      <c r="AJ47" s="31"/>
      <c r="AK47" s="115" t="s">
        <v>336</v>
      </c>
      <c r="AL47" s="116"/>
      <c r="AM47" s="116"/>
      <c r="AN47" s="40"/>
      <c r="AO47" s="40"/>
      <c r="AP47" s="40"/>
      <c r="AQ47" s="40"/>
      <c r="AR47" s="70"/>
    </row>
    <row r="48" spans="1:44" x14ac:dyDescent="0.25">
      <c r="A48" s="28">
        <v>39</v>
      </c>
      <c r="B48" s="33">
        <v>44835</v>
      </c>
      <c r="C48" s="31">
        <f t="shared" si="0"/>
        <v>4166.666666666667</v>
      </c>
      <c r="D48" s="31">
        <f t="shared" si="4"/>
        <v>3780.0529894083857</v>
      </c>
      <c r="E48" s="31">
        <f t="shared" si="1"/>
        <v>3931.5660912783574</v>
      </c>
      <c r="F48" s="31">
        <f t="shared" si="2"/>
        <v>31452.528730226659</v>
      </c>
      <c r="G48" s="31">
        <f t="shared" si="5"/>
        <v>82.403592442925259</v>
      </c>
      <c r="H48" s="32">
        <f t="shared" si="3"/>
        <v>33043.840569613028</v>
      </c>
      <c r="I48" s="31"/>
      <c r="J48" s="28">
        <v>27</v>
      </c>
      <c r="K48" s="33">
        <v>44835</v>
      </c>
      <c r="L48" s="31">
        <f t="shared" si="7"/>
        <v>4250</v>
      </c>
      <c r="M48" s="31">
        <f t="shared" si="8"/>
        <v>3972.9274566303038</v>
      </c>
      <c r="N48" s="31">
        <f t="shared" si="6"/>
        <v>4011.3633858656385</v>
      </c>
      <c r="O48" s="31">
        <f t="shared" si="9"/>
        <v>32090.907086925086</v>
      </c>
      <c r="P48" s="31">
        <f t="shared" si="10"/>
        <v>84.051664291783354</v>
      </c>
      <c r="Q48" s="32">
        <f t="shared" si="11"/>
        <v>33704.717381005124</v>
      </c>
      <c r="R48" s="31"/>
      <c r="S48" s="28">
        <v>15</v>
      </c>
      <c r="T48" s="33">
        <v>44835</v>
      </c>
      <c r="U48" s="31">
        <f t="shared" si="13"/>
        <v>4292.5</v>
      </c>
      <c r="V48" s="31">
        <f t="shared" si="14"/>
        <v>4134.7055254413763</v>
      </c>
      <c r="W48" s="31">
        <f t="shared" si="12"/>
        <v>4052.6665584590705</v>
      </c>
      <c r="X48" s="31">
        <f t="shared" si="15"/>
        <v>32421.332467672572</v>
      </c>
      <c r="Y48" s="31">
        <f t="shared" si="17"/>
        <v>84.892180934701017</v>
      </c>
      <c r="Z48" s="32">
        <f t="shared" si="16"/>
        <v>34041.764554815105</v>
      </c>
      <c r="AA48" s="31"/>
      <c r="AB48" s="28">
        <v>3</v>
      </c>
      <c r="AC48" s="33">
        <v>44835</v>
      </c>
      <c r="AD48" s="31">
        <f t="shared" si="19"/>
        <v>4421.2750000000005</v>
      </c>
      <c r="AE48" s="31">
        <f t="shared" ref="AE48:AE55" si="23">+AD48/(1+F$1)^AB48</f>
        <v>4388.2805470698368</v>
      </c>
      <c r="AF48" s="31">
        <f t="shared" si="18"/>
        <v>4179.6899177254718</v>
      </c>
      <c r="AG48" s="31">
        <f t="shared" si="20"/>
        <v>33437.519341803767</v>
      </c>
      <c r="AH48" s="31">
        <f t="shared" si="22"/>
        <v>87.438946362741959</v>
      </c>
      <c r="AI48" s="32">
        <f t="shared" si="21"/>
        <v>35063.017491459526</v>
      </c>
      <c r="AJ48" s="31"/>
      <c r="AK48" s="115"/>
      <c r="AL48" s="116"/>
      <c r="AM48" s="116"/>
      <c r="AN48" s="40"/>
      <c r="AO48" s="40"/>
      <c r="AP48" s="40"/>
      <c r="AQ48" s="40"/>
      <c r="AR48" s="70"/>
    </row>
    <row r="49" spans="1:44" x14ac:dyDescent="0.25">
      <c r="A49" s="28">
        <v>40</v>
      </c>
      <c r="B49" s="33">
        <v>44866</v>
      </c>
      <c r="C49" s="31">
        <f t="shared" si="0"/>
        <v>4166.666666666667</v>
      </c>
      <c r="D49" s="31">
        <f t="shared" si="4"/>
        <v>3770.6264233500106</v>
      </c>
      <c r="E49" s="31">
        <f t="shared" si="1"/>
        <v>3931.5660912783574</v>
      </c>
      <c r="F49" s="31">
        <f t="shared" si="2"/>
        <v>27520.962638948302</v>
      </c>
      <c r="G49" s="31">
        <f t="shared" si="5"/>
        <v>72.192934757365904</v>
      </c>
      <c r="H49" s="32">
        <f t="shared" si="3"/>
        <v>28949.366837703725</v>
      </c>
      <c r="I49" s="31"/>
      <c r="J49" s="28">
        <v>28</v>
      </c>
      <c r="K49" s="33">
        <v>44866</v>
      </c>
      <c r="L49" s="31">
        <f t="shared" si="7"/>
        <v>4250</v>
      </c>
      <c r="M49" s="31">
        <f t="shared" si="8"/>
        <v>3963.0199068631459</v>
      </c>
      <c r="N49" s="31">
        <f t="shared" si="6"/>
        <v>4011.3633858656385</v>
      </c>
      <c r="O49" s="31">
        <f t="shared" si="9"/>
        <v>28079.543701059447</v>
      </c>
      <c r="P49" s="31">
        <f t="shared" si="10"/>
        <v>73.636793452512819</v>
      </c>
      <c r="Q49" s="32">
        <f t="shared" si="11"/>
        <v>29528.354174457636</v>
      </c>
      <c r="R49" s="31"/>
      <c r="S49" s="28">
        <v>16</v>
      </c>
      <c r="T49" s="33">
        <v>44866</v>
      </c>
      <c r="U49" s="31">
        <f t="shared" si="13"/>
        <v>4292.5</v>
      </c>
      <c r="V49" s="31">
        <f t="shared" si="14"/>
        <v>4124.3945390936415</v>
      </c>
      <c r="W49" s="31">
        <f t="shared" si="12"/>
        <v>4052.6665584590705</v>
      </c>
      <c r="X49" s="31">
        <f t="shared" si="15"/>
        <v>28368.665909213501</v>
      </c>
      <c r="Y49" s="31">
        <f t="shared" si="17"/>
        <v>74.373161387037769</v>
      </c>
      <c r="Z49" s="32">
        <f t="shared" si="16"/>
        <v>29823.637716202142</v>
      </c>
      <c r="AA49" s="31"/>
      <c r="AB49" s="28">
        <v>4</v>
      </c>
      <c r="AC49" s="33">
        <v>44866</v>
      </c>
      <c r="AD49" s="31">
        <f t="shared" si="19"/>
        <v>4421.2750000000005</v>
      </c>
      <c r="AE49" s="31">
        <f t="shared" si="23"/>
        <v>4377.3372040596878</v>
      </c>
      <c r="AF49" s="31">
        <f t="shared" si="18"/>
        <v>4179.6899177254718</v>
      </c>
      <c r="AG49" s="31">
        <f t="shared" si="20"/>
        <v>29257.829424078296</v>
      </c>
      <c r="AH49" s="31">
        <f t="shared" si="22"/>
        <v>76.604356228648811</v>
      </c>
      <c r="AI49" s="32">
        <f t="shared" si="21"/>
        <v>30718.346847688175</v>
      </c>
      <c r="AJ49" s="31"/>
      <c r="AK49" s="115" t="s">
        <v>200</v>
      </c>
      <c r="AL49" s="116" t="s">
        <v>108</v>
      </c>
      <c r="AM49" s="116" t="s">
        <v>0</v>
      </c>
      <c r="AN49" s="40">
        <v>2241002</v>
      </c>
      <c r="AO49" s="40"/>
      <c r="AP49" s="40"/>
      <c r="AQ49" s="40" t="s">
        <v>251</v>
      </c>
      <c r="AR49" s="70">
        <f>SUM(AF45:AF56)</f>
        <v>50156.279012705672</v>
      </c>
    </row>
    <row r="50" spans="1:44" x14ac:dyDescent="0.25">
      <c r="A50" s="28">
        <v>41</v>
      </c>
      <c r="B50" s="33">
        <v>44896</v>
      </c>
      <c r="C50" s="31">
        <f t="shared" si="0"/>
        <v>4166.666666666667</v>
      </c>
      <c r="D50" s="31">
        <f t="shared" si="4"/>
        <v>3761.2233649376667</v>
      </c>
      <c r="E50" s="31">
        <f t="shared" si="1"/>
        <v>3931.5660912783574</v>
      </c>
      <c r="F50" s="31">
        <f t="shared" si="2"/>
        <v>23589.396547669945</v>
      </c>
      <c r="G50" s="31">
        <f t="shared" si="5"/>
        <v>61.956750427592645</v>
      </c>
      <c r="H50" s="32">
        <f t="shared" si="3"/>
        <v>24844.656921464648</v>
      </c>
      <c r="I50" s="31"/>
      <c r="J50" s="28">
        <v>29</v>
      </c>
      <c r="K50" s="33">
        <v>44896</v>
      </c>
      <c r="L50" s="31">
        <f t="shared" si="7"/>
        <v>4250</v>
      </c>
      <c r="M50" s="31">
        <f t="shared" si="8"/>
        <v>3953.1370642026386</v>
      </c>
      <c r="N50" s="31">
        <f t="shared" si="6"/>
        <v>4011.3633858656385</v>
      </c>
      <c r="O50" s="31">
        <f t="shared" si="9"/>
        <v>24068.180315193807</v>
      </c>
      <c r="P50" s="31">
        <f t="shared" si="10"/>
        <v>63.195885436144088</v>
      </c>
      <c r="Q50" s="32">
        <f t="shared" si="11"/>
        <v>25341.55005989378</v>
      </c>
      <c r="R50" s="31"/>
      <c r="S50" s="28">
        <v>17</v>
      </c>
      <c r="T50" s="33">
        <v>44896</v>
      </c>
      <c r="U50" s="31">
        <f t="shared" si="13"/>
        <v>4292.5</v>
      </c>
      <c r="V50" s="31">
        <f t="shared" si="14"/>
        <v>4114.1092659288197</v>
      </c>
      <c r="W50" s="31">
        <f t="shared" si="12"/>
        <v>4052.6665584590705</v>
      </c>
      <c r="X50" s="31">
        <f t="shared" si="15"/>
        <v>24315.999350754431</v>
      </c>
      <c r="Y50" s="31">
        <f t="shared" si="17"/>
        <v>63.827844290505354</v>
      </c>
      <c r="Z50" s="32">
        <f t="shared" si="16"/>
        <v>25594.965560492648</v>
      </c>
      <c r="AA50" s="31"/>
      <c r="AB50" s="28">
        <v>5</v>
      </c>
      <c r="AC50" s="33">
        <v>44896</v>
      </c>
      <c r="AD50" s="31">
        <f t="shared" si="19"/>
        <v>4421.2750000000005</v>
      </c>
      <c r="AE50" s="31">
        <f t="shared" si="23"/>
        <v>4366.421151181733</v>
      </c>
      <c r="AF50" s="31">
        <f t="shared" si="18"/>
        <v>4179.6899177254718</v>
      </c>
      <c r="AG50" s="31">
        <f t="shared" si="20"/>
        <v>25078.139506352825</v>
      </c>
      <c r="AH50" s="31">
        <f t="shared" si="22"/>
        <v>65.742679619220439</v>
      </c>
      <c r="AI50" s="32">
        <f t="shared" si="21"/>
        <v>26362.814527307393</v>
      </c>
      <c r="AJ50" s="31"/>
      <c r="AK50" s="115"/>
      <c r="AL50" s="116"/>
      <c r="AM50" s="116" t="s">
        <v>1</v>
      </c>
      <c r="AN50" s="40">
        <v>5311002</v>
      </c>
      <c r="AO50" s="40">
        <v>7353</v>
      </c>
      <c r="AP50" s="40"/>
      <c r="AQ50" s="40" t="s">
        <v>105</v>
      </c>
      <c r="AR50" s="70">
        <f>AR49</f>
        <v>50156.279012705672</v>
      </c>
    </row>
    <row r="51" spans="1:44" x14ac:dyDescent="0.25">
      <c r="A51" s="28">
        <v>42</v>
      </c>
      <c r="B51" s="33">
        <v>44927</v>
      </c>
      <c r="C51" s="31">
        <f t="shared" si="0"/>
        <v>4166.666666666667</v>
      </c>
      <c r="D51" s="31">
        <f t="shared" si="4"/>
        <v>3751.8437555487953</v>
      </c>
      <c r="E51" s="31">
        <f t="shared" si="1"/>
        <v>3931.5660912783574</v>
      </c>
      <c r="F51" s="31">
        <f t="shared" si="2"/>
        <v>19657.830456391588</v>
      </c>
      <c r="G51" s="31">
        <f t="shared" si="5"/>
        <v>51.694975636994954</v>
      </c>
      <c r="H51" s="32">
        <f t="shared" si="3"/>
        <v>20729.685230434974</v>
      </c>
      <c r="I51" s="31"/>
      <c r="J51" s="28">
        <v>30</v>
      </c>
      <c r="K51" s="33">
        <v>44927</v>
      </c>
      <c r="L51" s="31">
        <f t="shared" si="7"/>
        <v>4250</v>
      </c>
      <c r="M51" s="31">
        <f t="shared" si="8"/>
        <v>3943.2788670350524</v>
      </c>
      <c r="N51" s="31">
        <f t="shared" si="6"/>
        <v>4011.3633858656385</v>
      </c>
      <c r="O51" s="31">
        <f t="shared" si="9"/>
        <v>20056.816929328168</v>
      </c>
      <c r="P51" s="31">
        <f t="shared" si="10"/>
        <v>52.728875149734449</v>
      </c>
      <c r="Q51" s="32">
        <f t="shared" si="11"/>
        <v>21144.278935043512</v>
      </c>
      <c r="R51" s="31"/>
      <c r="S51" s="28">
        <v>18</v>
      </c>
      <c r="T51" s="33">
        <v>44927</v>
      </c>
      <c r="U51" s="31">
        <f t="shared" si="13"/>
        <v>4292.5</v>
      </c>
      <c r="V51" s="31">
        <f t="shared" si="14"/>
        <v>4103.8496418242594</v>
      </c>
      <c r="W51" s="31">
        <f t="shared" si="12"/>
        <v>4052.6665584590705</v>
      </c>
      <c r="X51" s="31">
        <f t="shared" si="15"/>
        <v>20263.332792295361</v>
      </c>
      <c r="Y51" s="31">
        <f t="shared" si="17"/>
        <v>53.256163901231623</v>
      </c>
      <c r="Z51" s="32">
        <f t="shared" si="16"/>
        <v>21355.721724393879</v>
      </c>
      <c r="AA51" s="31"/>
      <c r="AB51" s="28">
        <v>6</v>
      </c>
      <c r="AC51" s="33">
        <v>44927</v>
      </c>
      <c r="AD51" s="31">
        <f t="shared" si="19"/>
        <v>4421.2750000000005</v>
      </c>
      <c r="AE51" s="31">
        <f t="shared" si="23"/>
        <v>4355.532320380782</v>
      </c>
      <c r="AF51" s="31">
        <f t="shared" si="18"/>
        <v>4179.6899177254718</v>
      </c>
      <c r="AG51" s="31">
        <f t="shared" si="20"/>
        <v>20898.449588627354</v>
      </c>
      <c r="AH51" s="31">
        <f t="shared" si="22"/>
        <v>54.853848818268482</v>
      </c>
      <c r="AI51" s="32">
        <f t="shared" si="21"/>
        <v>21996.393376125659</v>
      </c>
      <c r="AJ51" s="31"/>
      <c r="AK51" s="115" t="s">
        <v>190</v>
      </c>
      <c r="AL51" s="116"/>
      <c r="AM51" s="116"/>
      <c r="AN51" s="40"/>
      <c r="AO51" s="40"/>
      <c r="AP51" s="40"/>
      <c r="AQ51" s="40"/>
      <c r="AR51" s="70"/>
    </row>
    <row r="52" spans="1:44" x14ac:dyDescent="0.25">
      <c r="A52" s="28">
        <v>43</v>
      </c>
      <c r="B52" s="33">
        <v>44958</v>
      </c>
      <c r="C52" s="31">
        <f t="shared" si="0"/>
        <v>4166.666666666667</v>
      </c>
      <c r="D52" s="31">
        <f t="shared" si="4"/>
        <v>3742.4875367070281</v>
      </c>
      <c r="E52" s="31">
        <f t="shared" si="1"/>
        <v>3931.5660912783574</v>
      </c>
      <c r="F52" s="31">
        <f t="shared" si="2"/>
        <v>15726.264365113231</v>
      </c>
      <c r="G52" s="31">
        <f t="shared" si="5"/>
        <v>41.407546409420767</v>
      </c>
      <c r="H52" s="32">
        <f t="shared" si="3"/>
        <v>16604.426110177727</v>
      </c>
      <c r="I52" s="31"/>
      <c r="J52" s="28">
        <v>31</v>
      </c>
      <c r="K52" s="33">
        <v>44958</v>
      </c>
      <c r="L52" s="31">
        <f t="shared" si="7"/>
        <v>4250</v>
      </c>
      <c r="M52" s="31">
        <f t="shared" si="8"/>
        <v>3933.4452539003019</v>
      </c>
      <c r="N52" s="31">
        <f t="shared" si="6"/>
        <v>4011.3633858656385</v>
      </c>
      <c r="O52" s="31">
        <f t="shared" si="9"/>
        <v>16045.453543462529</v>
      </c>
      <c r="P52" s="31">
        <f t="shared" si="10"/>
        <v>42.235697337608784</v>
      </c>
      <c r="Q52" s="32">
        <f t="shared" si="11"/>
        <v>16936.51463238112</v>
      </c>
      <c r="R52" s="31"/>
      <c r="S52" s="28">
        <v>19</v>
      </c>
      <c r="T52" s="33">
        <v>44958</v>
      </c>
      <c r="U52" s="31">
        <f t="shared" si="13"/>
        <v>4292.5</v>
      </c>
      <c r="V52" s="31">
        <f t="shared" si="14"/>
        <v>4093.6156028172168</v>
      </c>
      <c r="W52" s="31">
        <f t="shared" si="12"/>
        <v>4052.6665584590705</v>
      </c>
      <c r="X52" s="31">
        <f t="shared" si="15"/>
        <v>16210.666233836291</v>
      </c>
      <c r="Y52" s="31">
        <f t="shared" si="17"/>
        <v>42.658054310984703</v>
      </c>
      <c r="Z52" s="32">
        <f t="shared" si="16"/>
        <v>17105.879778704864</v>
      </c>
      <c r="AA52" s="31"/>
      <c r="AB52" s="28">
        <v>7</v>
      </c>
      <c r="AC52" s="33">
        <v>44958</v>
      </c>
      <c r="AD52" s="31">
        <f t="shared" si="19"/>
        <v>4421.2750000000005</v>
      </c>
      <c r="AE52" s="31">
        <f t="shared" si="23"/>
        <v>4344.6706437713538</v>
      </c>
      <c r="AF52" s="31">
        <f t="shared" si="18"/>
        <v>4179.6899177254718</v>
      </c>
      <c r="AG52" s="31">
        <f t="shared" si="20"/>
        <v>16718.759670901884</v>
      </c>
      <c r="AH52" s="31">
        <f t="shared" si="22"/>
        <v>43.937795940314146</v>
      </c>
      <c r="AI52" s="32">
        <f t="shared" si="21"/>
        <v>17619.056172065972</v>
      </c>
      <c r="AJ52" s="31"/>
      <c r="AK52" s="115"/>
      <c r="AL52" s="116"/>
      <c r="AM52" s="116"/>
      <c r="AN52" s="40"/>
      <c r="AO52" s="40"/>
      <c r="AP52" s="40"/>
      <c r="AQ52" s="40"/>
      <c r="AR52" s="70"/>
    </row>
    <row r="53" spans="1:44" x14ac:dyDescent="0.25">
      <c r="A53" s="28">
        <v>44</v>
      </c>
      <c r="B53" s="33">
        <v>44986</v>
      </c>
      <c r="C53" s="31">
        <f t="shared" si="0"/>
        <v>4166.666666666667</v>
      </c>
      <c r="D53" s="31">
        <f t="shared" si="4"/>
        <v>3733.1546500818235</v>
      </c>
      <c r="E53" s="31">
        <f t="shared" si="1"/>
        <v>3931.5660912783574</v>
      </c>
      <c r="F53" s="31">
        <f t="shared" si="2"/>
        <v>11794.698273834874</v>
      </c>
      <c r="G53" s="31">
        <f t="shared" si="5"/>
        <v>31.094398608777649</v>
      </c>
      <c r="H53" s="32">
        <f t="shared" si="3"/>
        <v>12468.853842119835</v>
      </c>
      <c r="I53" s="31"/>
      <c r="J53" s="28">
        <v>32</v>
      </c>
      <c r="K53" s="33">
        <v>44986</v>
      </c>
      <c r="L53" s="31">
        <f t="shared" si="7"/>
        <v>4250</v>
      </c>
      <c r="M53" s="31">
        <f t="shared" si="8"/>
        <v>3923.6361634915725</v>
      </c>
      <c r="N53" s="31">
        <f t="shared" si="6"/>
        <v>4011.3633858656385</v>
      </c>
      <c r="O53" s="31">
        <f t="shared" si="9"/>
        <v>12034.090157596889</v>
      </c>
      <c r="P53" s="31">
        <f t="shared" si="10"/>
        <v>31.716286580952801</v>
      </c>
      <c r="Q53" s="32">
        <f t="shared" si="11"/>
        <v>12718.230918962074</v>
      </c>
      <c r="R53" s="31"/>
      <c r="S53" s="28">
        <v>20</v>
      </c>
      <c r="T53" s="33">
        <v>44986</v>
      </c>
      <c r="U53" s="31">
        <f t="shared" si="13"/>
        <v>4292.5</v>
      </c>
      <c r="V53" s="31">
        <f t="shared" si="14"/>
        <v>4083.4070851044548</v>
      </c>
      <c r="W53" s="31">
        <f t="shared" si="12"/>
        <v>4052.6665584590705</v>
      </c>
      <c r="X53" s="31">
        <f t="shared" si="15"/>
        <v>12157.999675377221</v>
      </c>
      <c r="Y53" s="31">
        <f t="shared" si="17"/>
        <v>32.033449446762162</v>
      </c>
      <c r="Z53" s="32">
        <f t="shared" si="16"/>
        <v>12845.413228151627</v>
      </c>
      <c r="AA53" s="31"/>
      <c r="AB53" s="28">
        <v>8</v>
      </c>
      <c r="AC53" s="33">
        <v>44986</v>
      </c>
      <c r="AD53" s="31">
        <f t="shared" si="19"/>
        <v>4421.2750000000005</v>
      </c>
      <c r="AE53" s="31">
        <f t="shared" si="23"/>
        <v>4333.8360536372602</v>
      </c>
      <c r="AF53" s="31">
        <f t="shared" si="18"/>
        <v>4179.6899177254718</v>
      </c>
      <c r="AG53" s="31">
        <f t="shared" si="20"/>
        <v>12539.069753176413</v>
      </c>
      <c r="AH53" s="31">
        <f t="shared" si="22"/>
        <v>32.994452930164925</v>
      </c>
      <c r="AI53" s="32">
        <f t="shared" si="21"/>
        <v>13230.775624996135</v>
      </c>
      <c r="AJ53" s="31"/>
      <c r="AK53" s="115" t="s">
        <v>201</v>
      </c>
      <c r="AL53" s="116" t="s">
        <v>108</v>
      </c>
      <c r="AM53" s="116" t="s">
        <v>0</v>
      </c>
      <c r="AN53" s="40">
        <v>3240106</v>
      </c>
      <c r="AO53" s="40"/>
      <c r="AP53" s="40"/>
      <c r="AQ53" s="40" t="s">
        <v>271</v>
      </c>
      <c r="AR53" s="70">
        <f>AR55-AR54</f>
        <v>52333.624017757793</v>
      </c>
    </row>
    <row r="54" spans="1:44" x14ac:dyDescent="0.25">
      <c r="A54" s="28">
        <v>45</v>
      </c>
      <c r="B54" s="33">
        <v>45017</v>
      </c>
      <c r="C54" s="31">
        <f t="shared" si="0"/>
        <v>4166.666666666667</v>
      </c>
      <c r="D54" s="31">
        <f t="shared" si="4"/>
        <v>3723.8450374881027</v>
      </c>
      <c r="E54" s="31">
        <f t="shared" si="1"/>
        <v>3931.5660912783574</v>
      </c>
      <c r="F54" s="31">
        <f t="shared" si="2"/>
        <v>7863.1321825565174</v>
      </c>
      <c r="G54" s="31">
        <f t="shared" si="5"/>
        <v>20.755467938632918</v>
      </c>
      <c r="H54" s="32">
        <f t="shared" si="3"/>
        <v>8322.9426433917997</v>
      </c>
      <c r="I54" s="31"/>
      <c r="J54" s="28">
        <v>33</v>
      </c>
      <c r="K54" s="33">
        <v>45017</v>
      </c>
      <c r="L54" s="31">
        <f t="shared" si="7"/>
        <v>4250</v>
      </c>
      <c r="M54" s="31">
        <f t="shared" si="8"/>
        <v>3913.8515346549352</v>
      </c>
      <c r="N54" s="31">
        <f t="shared" si="6"/>
        <v>4011.3633858656385</v>
      </c>
      <c r="O54" s="31">
        <f t="shared" si="9"/>
        <v>8022.7267717312507</v>
      </c>
      <c r="P54" s="31">
        <f t="shared" si="10"/>
        <v>21.170577297405185</v>
      </c>
      <c r="Q54" s="32">
        <f t="shared" si="11"/>
        <v>8489.4014962594792</v>
      </c>
      <c r="R54" s="31"/>
      <c r="S54" s="28">
        <v>21</v>
      </c>
      <c r="T54" s="33">
        <v>45017</v>
      </c>
      <c r="U54" s="31">
        <f t="shared" si="13"/>
        <v>4292.5</v>
      </c>
      <c r="V54" s="31">
        <f t="shared" si="14"/>
        <v>4073.2240250418508</v>
      </c>
      <c r="W54" s="31">
        <f t="shared" si="12"/>
        <v>4052.6665584590705</v>
      </c>
      <c r="X54" s="31">
        <f t="shared" si="15"/>
        <v>8105.3331169181511</v>
      </c>
      <c r="Y54" s="31">
        <f t="shared" si="17"/>
        <v>21.382283070379067</v>
      </c>
      <c r="Z54" s="32">
        <f t="shared" si="16"/>
        <v>8574.2955112220061</v>
      </c>
      <c r="AA54" s="31"/>
      <c r="AB54" s="28">
        <v>9</v>
      </c>
      <c r="AC54" s="33">
        <v>45017</v>
      </c>
      <c r="AD54" s="31">
        <f t="shared" si="19"/>
        <v>4421.2750000000005</v>
      </c>
      <c r="AE54" s="31">
        <f t="shared" si="23"/>
        <v>4323.0284824311821</v>
      </c>
      <c r="AF54" s="31">
        <f t="shared" si="18"/>
        <v>4179.6899177254718</v>
      </c>
      <c r="AG54" s="31">
        <f t="shared" si="20"/>
        <v>8359.3798354509418</v>
      </c>
      <c r="AH54" s="31">
        <f t="shared" si="22"/>
        <v>22.023751562490332</v>
      </c>
      <c r="AI54" s="32">
        <f t="shared" si="21"/>
        <v>8831.5243765586238</v>
      </c>
      <c r="AJ54" s="31"/>
      <c r="AK54" s="115"/>
      <c r="AL54" s="116"/>
      <c r="AM54" s="116" t="s">
        <v>0</v>
      </c>
      <c r="AN54" s="40">
        <v>2422020</v>
      </c>
      <c r="AO54" s="40"/>
      <c r="AP54" s="40"/>
      <c r="AQ54" s="40" t="s">
        <v>161</v>
      </c>
      <c r="AR54" s="70">
        <f>SUM(AH45:AH56)</f>
        <v>721.67598224221558</v>
      </c>
    </row>
    <row r="55" spans="1:44" x14ac:dyDescent="0.25">
      <c r="A55" s="28">
        <v>46</v>
      </c>
      <c r="B55" s="33">
        <v>45047</v>
      </c>
      <c r="C55" s="31">
        <f t="shared" si="0"/>
        <v>4166.666666666667</v>
      </c>
      <c r="D55" s="31">
        <f t="shared" si="4"/>
        <v>3714.5586408858894</v>
      </c>
      <c r="E55" s="31">
        <f t="shared" si="1"/>
        <v>3931.5660912783574</v>
      </c>
      <c r="F55" s="31">
        <f t="shared" si="2"/>
        <v>3931.56609127816</v>
      </c>
      <c r="G55" s="31">
        <f t="shared" si="5"/>
        <v>10.390689941812832</v>
      </c>
      <c r="H55" s="32">
        <f t="shared" si="3"/>
        <v>4166.6666666669453</v>
      </c>
      <c r="I55" s="31"/>
      <c r="J55" s="28">
        <v>34</v>
      </c>
      <c r="K55" s="33">
        <v>45047</v>
      </c>
      <c r="L55" s="31">
        <f t="shared" si="7"/>
        <v>4250</v>
      </c>
      <c r="M55" s="31">
        <f t="shared" si="8"/>
        <v>3904.0913063889634</v>
      </c>
      <c r="N55" s="31">
        <f t="shared" si="6"/>
        <v>4011.3633858656385</v>
      </c>
      <c r="O55" s="31">
        <f t="shared" si="9"/>
        <v>4011.3633858656121</v>
      </c>
      <c r="P55" s="31">
        <f t="shared" si="10"/>
        <v>10.598503740648699</v>
      </c>
      <c r="Q55" s="32">
        <f t="shared" si="11"/>
        <v>4250.0000000001282</v>
      </c>
      <c r="R55" s="31"/>
      <c r="S55" s="28">
        <v>22</v>
      </c>
      <c r="T55" s="33">
        <v>45047</v>
      </c>
      <c r="U55" s="31">
        <f t="shared" si="13"/>
        <v>4292.5</v>
      </c>
      <c r="V55" s="31">
        <f t="shared" si="14"/>
        <v>4063.066359143992</v>
      </c>
      <c r="W55" s="31">
        <f t="shared" si="12"/>
        <v>4052.6665584590705</v>
      </c>
      <c r="X55" s="31">
        <f t="shared" si="15"/>
        <v>4052.6665584590805</v>
      </c>
      <c r="Y55" s="31">
        <f t="shared" si="17"/>
        <v>10.704488778055016</v>
      </c>
      <c r="Z55" s="32">
        <f t="shared" si="16"/>
        <v>4292.5000000000609</v>
      </c>
      <c r="AA55" s="31"/>
      <c r="AB55" s="28">
        <v>10</v>
      </c>
      <c r="AC55" s="33">
        <v>45047</v>
      </c>
      <c r="AD55" s="31">
        <f t="shared" si="19"/>
        <v>4421.2750000000005</v>
      </c>
      <c r="AE55" s="31">
        <f t="shared" si="23"/>
        <v>4312.2478627742476</v>
      </c>
      <c r="AF55" s="31">
        <f t="shared" si="18"/>
        <v>4179.6899177254718</v>
      </c>
      <c r="AG55" s="31">
        <f t="shared" si="20"/>
        <v>4179.68991772547</v>
      </c>
      <c r="AH55" s="31">
        <f t="shared" si="22"/>
        <v>11.025623441396558</v>
      </c>
      <c r="AI55" s="32">
        <f t="shared" si="21"/>
        <v>4421.2750000000196</v>
      </c>
      <c r="AJ55" s="31"/>
      <c r="AK55" s="115"/>
      <c r="AL55" s="116"/>
      <c r="AM55" s="116" t="s">
        <v>1</v>
      </c>
      <c r="AN55" s="40"/>
      <c r="AO55" s="40"/>
      <c r="AP55" s="40"/>
      <c r="AQ55" s="40" t="s">
        <v>31</v>
      </c>
      <c r="AR55" s="70">
        <f>SUM(AD45:AD56)</f>
        <v>53055.30000000001</v>
      </c>
    </row>
    <row r="56" spans="1:44" x14ac:dyDescent="0.25">
      <c r="A56" s="28">
        <v>47</v>
      </c>
      <c r="B56" s="33">
        <v>45078</v>
      </c>
      <c r="C56" s="31">
        <f t="shared" si="0"/>
        <v>4166.666666666667</v>
      </c>
      <c r="D56" s="31">
        <f>+C56/(1+F$1)^A56</f>
        <v>3705.2954023799398</v>
      </c>
      <c r="E56" s="31">
        <f t="shared" si="1"/>
        <v>3931.5660912783574</v>
      </c>
      <c r="F56" s="31">
        <f t="shared" si="2"/>
        <v>-1.9736035028472543E-10</v>
      </c>
      <c r="G56" s="31">
        <f t="shared" si="5"/>
        <v>6.9576344685629011E-13</v>
      </c>
      <c r="H56" s="32">
        <f t="shared" si="3"/>
        <v>2.7900114218937232E-10</v>
      </c>
      <c r="I56" s="31"/>
      <c r="J56" s="28">
        <v>35</v>
      </c>
      <c r="K56" s="33">
        <v>45078</v>
      </c>
      <c r="L56" s="31">
        <f t="shared" si="7"/>
        <v>4250</v>
      </c>
      <c r="M56" s="31">
        <f>+L56/(1+F$1)^J56</f>
        <v>3894.3554178443528</v>
      </c>
      <c r="N56" s="31">
        <f t="shared" si="6"/>
        <v>4011.3633858656385</v>
      </c>
      <c r="O56" s="31">
        <f t="shared" si="9"/>
        <v>-2.6375346351414919E-11</v>
      </c>
      <c r="P56" s="31">
        <f t="shared" si="10"/>
        <v>3.2059688237495719E-13</v>
      </c>
      <c r="Q56" s="32">
        <f t="shared" si="11"/>
        <v>1.2855934983235783E-10</v>
      </c>
      <c r="R56" s="31"/>
      <c r="S56" s="28">
        <v>23</v>
      </c>
      <c r="T56" s="33">
        <v>45078</v>
      </c>
      <c r="U56" s="31">
        <f t="shared" si="13"/>
        <v>4292.5</v>
      </c>
      <c r="V56" s="31">
        <f>+U56/(1+F$1)^S56</f>
        <v>4052.9340240837823</v>
      </c>
      <c r="W56" s="31">
        <f t="shared" si="12"/>
        <v>4052.6665584590705</v>
      </c>
      <c r="X56" s="31">
        <f t="shared" si="15"/>
        <v>1.0004441719502211E-11</v>
      </c>
      <c r="Y56" s="31">
        <f t="shared" si="17"/>
        <v>1.5234036254696549E-13</v>
      </c>
      <c r="Z56" s="32">
        <f t="shared" si="16"/>
        <v>6.1088485381333161E-11</v>
      </c>
      <c r="AA56" s="31"/>
      <c r="AB56" s="28">
        <v>11</v>
      </c>
      <c r="AC56" s="33">
        <v>45078</v>
      </c>
      <c r="AD56" s="31">
        <f t="shared" si="19"/>
        <v>4421.2750000000005</v>
      </c>
      <c r="AE56" s="31">
        <f>+AD56/(1+F$1)^AB56</f>
        <v>4301.4941274556086</v>
      </c>
      <c r="AF56" s="31">
        <f t="shared" si="18"/>
        <v>4179.6899177254718</v>
      </c>
      <c r="AG56" s="31">
        <f t="shared" si="20"/>
        <v>0</v>
      </c>
      <c r="AH56" s="31">
        <f t="shared" si="22"/>
        <v>4.7748471843078731E-14</v>
      </c>
      <c r="AI56" s="32">
        <f t="shared" si="21"/>
        <v>1.914713720907457E-11</v>
      </c>
      <c r="AJ56" s="31"/>
      <c r="AK56" s="115" t="s">
        <v>123</v>
      </c>
      <c r="AL56" s="116"/>
      <c r="AM56" s="116"/>
      <c r="AN56" s="40"/>
      <c r="AO56" s="40"/>
      <c r="AP56" s="40"/>
      <c r="AQ56" s="40"/>
      <c r="AR56" s="70"/>
    </row>
    <row r="57" spans="1:44" ht="15.75" thickBot="1" x14ac:dyDescent="0.3">
      <c r="A57" s="35"/>
      <c r="B57" s="36"/>
      <c r="C57" s="37">
        <f>SUM(C9:C56)</f>
        <v>199999.99999999991</v>
      </c>
      <c r="D57" s="37">
        <f>SUM(D9:D56)</f>
        <v>188715.17238136116</v>
      </c>
      <c r="E57" s="37">
        <f>SUM(E9:E56)</f>
        <v>188715.17238136136</v>
      </c>
      <c r="F57" s="36"/>
      <c r="G57" s="37">
        <f>SUM(G9:G56)</f>
        <v>11284.827618639041</v>
      </c>
      <c r="H57" s="38"/>
      <c r="I57" s="29"/>
      <c r="J57" s="35"/>
      <c r="K57" s="36"/>
      <c r="L57" s="37">
        <f>SUM(L9:L56)</f>
        <v>153000</v>
      </c>
      <c r="M57" s="37">
        <f>SUM(M9:M56)</f>
        <v>146507.8328622616</v>
      </c>
      <c r="N57" s="37">
        <f>SUM(N9:N56)</f>
        <v>144409.08189116299</v>
      </c>
      <c r="O57" s="36"/>
      <c r="P57" s="37">
        <f>SUM(P9:P56)</f>
        <v>6492.1671377385401</v>
      </c>
      <c r="Q57" s="38"/>
      <c r="R57" s="29"/>
      <c r="S57" s="35"/>
      <c r="T57" s="36"/>
      <c r="U57" s="37">
        <f>SUM(U9:U56)</f>
        <v>103020</v>
      </c>
      <c r="V57" s="37">
        <f>SUM(V9:V56)</f>
        <v>100118.89036648901</v>
      </c>
      <c r="W57" s="37">
        <f>SUM(W9:W56)</f>
        <v>97263.997403017682</v>
      </c>
      <c r="X57" s="36"/>
      <c r="Y57" s="37">
        <f>SUM(Y9:Y56)</f>
        <v>2901.1096335110392</v>
      </c>
      <c r="Z57" s="38"/>
      <c r="AA57" s="29"/>
      <c r="AB57" s="35"/>
      <c r="AC57" s="36"/>
      <c r="AD57" s="37">
        <f>SUM(AD9:AD56)</f>
        <v>53055.30000000001</v>
      </c>
      <c r="AE57" s="37">
        <f>SUM(AE9:AE56)</f>
        <v>52333.624017757815</v>
      </c>
      <c r="AF57" s="37">
        <f>SUM(AF9:AF56)</f>
        <v>50156.279012705672</v>
      </c>
      <c r="AG57" s="36"/>
      <c r="AH57" s="37">
        <f>SUM(AH9:AH56)</f>
        <v>721.67598224221558</v>
      </c>
      <c r="AI57" s="38"/>
      <c r="AJ57" s="29"/>
      <c r="AK57" s="115"/>
      <c r="AL57" s="116"/>
      <c r="AM57" s="116"/>
      <c r="AN57" s="40"/>
      <c r="AO57" s="40"/>
      <c r="AP57" s="40"/>
      <c r="AQ57" s="40"/>
      <c r="AR57" s="70"/>
    </row>
    <row r="58" spans="1:44" ht="9.75" customHeight="1" thickBot="1" x14ac:dyDescent="0.3">
      <c r="A58" s="29"/>
      <c r="B58" s="29"/>
      <c r="C58" s="30"/>
      <c r="D58" s="30"/>
      <c r="E58" s="30"/>
      <c r="F58" s="29"/>
      <c r="G58" s="30"/>
      <c r="H58" s="29"/>
      <c r="I58" s="29"/>
      <c r="J58" s="29"/>
      <c r="K58" s="29"/>
      <c r="L58" s="30"/>
      <c r="M58" s="30"/>
      <c r="N58" s="30"/>
      <c r="O58" s="29"/>
      <c r="P58" s="30"/>
      <c r="Q58" s="29"/>
      <c r="R58" s="29"/>
      <c r="S58" s="29"/>
      <c r="T58" s="29"/>
      <c r="U58" s="30"/>
      <c r="V58" s="30"/>
      <c r="W58" s="30"/>
      <c r="X58" s="29"/>
      <c r="Y58" s="30"/>
      <c r="Z58" s="29"/>
      <c r="AA58" s="29"/>
      <c r="AB58" s="29"/>
      <c r="AC58" s="29"/>
      <c r="AD58" s="30"/>
      <c r="AE58" s="30"/>
      <c r="AF58" s="30"/>
      <c r="AG58" s="29"/>
      <c r="AH58" s="30"/>
      <c r="AI58" s="29"/>
      <c r="AJ58" s="29"/>
      <c r="AK58" s="198"/>
      <c r="AL58" s="198"/>
      <c r="AM58" s="198"/>
      <c r="AN58" s="111"/>
      <c r="AO58" s="111"/>
      <c r="AP58" s="111"/>
      <c r="AQ58" s="111"/>
      <c r="AR58" s="112"/>
    </row>
    <row r="59" spans="1:44" x14ac:dyDescent="0.25">
      <c r="A59" s="332" t="s">
        <v>278</v>
      </c>
      <c r="B59" s="333"/>
      <c r="C59" s="333"/>
      <c r="D59" s="333"/>
      <c r="E59" s="333"/>
      <c r="F59" s="333"/>
      <c r="G59" s="333"/>
      <c r="H59" s="333"/>
      <c r="I59" s="333"/>
      <c r="J59" s="333"/>
      <c r="K59" s="333"/>
      <c r="L59" s="333"/>
      <c r="M59" s="333"/>
      <c r="N59" s="333"/>
      <c r="O59" s="333"/>
      <c r="P59" s="333"/>
      <c r="Q59" s="333"/>
      <c r="R59" s="333"/>
      <c r="S59" s="333"/>
      <c r="T59" s="333"/>
      <c r="U59" s="333"/>
      <c r="V59" s="333"/>
      <c r="W59" s="333"/>
      <c r="X59" s="333"/>
      <c r="Y59" s="333"/>
      <c r="Z59" s="333"/>
      <c r="AA59" s="333"/>
      <c r="AB59" s="333"/>
      <c r="AC59" s="333"/>
      <c r="AD59" s="333"/>
      <c r="AE59" s="333"/>
      <c r="AF59" s="333"/>
      <c r="AG59" s="333"/>
      <c r="AH59" s="333"/>
      <c r="AI59" s="333"/>
      <c r="AJ59" s="333"/>
      <c r="AK59" s="333"/>
      <c r="AL59" s="333"/>
      <c r="AM59" s="333"/>
      <c r="AN59" s="333"/>
      <c r="AO59" s="333"/>
      <c r="AP59" s="333"/>
      <c r="AQ59" s="333"/>
      <c r="AR59" s="334"/>
    </row>
    <row r="60" spans="1:44" ht="15" customHeight="1" x14ac:dyDescent="0.25">
      <c r="A60" s="317" t="s">
        <v>442</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9"/>
    </row>
    <row r="61" spans="1:44" ht="4.5" customHeight="1" thickBot="1" x14ac:dyDescent="0.3">
      <c r="A61" s="396"/>
      <c r="B61" s="397"/>
      <c r="C61" s="397"/>
      <c r="D61" s="397"/>
      <c r="E61" s="397"/>
      <c r="F61" s="397"/>
      <c r="G61" s="397"/>
      <c r="H61" s="397"/>
      <c r="I61" s="397"/>
      <c r="J61" s="397"/>
      <c r="K61" s="397"/>
      <c r="L61" s="397"/>
      <c r="M61" s="397"/>
      <c r="N61" s="397"/>
      <c r="O61" s="397"/>
      <c r="P61" s="397"/>
      <c r="Q61" s="397"/>
      <c r="R61" s="397"/>
      <c r="S61" s="397"/>
      <c r="T61" s="397"/>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8"/>
    </row>
    <row r="62" spans="1:44" ht="9.75" customHeight="1" thickBot="1" x14ac:dyDescent="0.3">
      <c r="AK62" s="197"/>
      <c r="AL62" s="197"/>
      <c r="AM62" s="184"/>
      <c r="AN62" s="184"/>
      <c r="AO62" s="184"/>
      <c r="AP62" s="184"/>
      <c r="AQ62" s="184"/>
      <c r="AR62" s="75"/>
    </row>
    <row r="63" spans="1:44" s="107" customFormat="1" x14ac:dyDescent="0.25">
      <c r="A63" s="278" t="s">
        <v>208</v>
      </c>
      <c r="B63" s="279"/>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9"/>
      <c r="AM63" s="279"/>
      <c r="AN63" s="279"/>
      <c r="AO63" s="279"/>
      <c r="AP63" s="279"/>
      <c r="AQ63" s="279"/>
      <c r="AR63" s="280"/>
    </row>
    <row r="64" spans="1:44" s="107" customFormat="1" ht="16.5" customHeight="1" x14ac:dyDescent="0.25">
      <c r="A64" s="424" t="s">
        <v>212</v>
      </c>
      <c r="B64" s="425"/>
      <c r="C64" s="425"/>
      <c r="D64" s="425"/>
      <c r="E64" s="425"/>
      <c r="F64" s="425"/>
      <c r="G64" s="425"/>
      <c r="H64" s="425"/>
      <c r="I64" s="425"/>
      <c r="J64" s="425"/>
      <c r="K64" s="425"/>
      <c r="L64" s="425"/>
      <c r="M64" s="425"/>
      <c r="N64" s="425"/>
      <c r="O64" s="425"/>
      <c r="P64" s="425"/>
      <c r="Q64" s="425"/>
      <c r="R64" s="425"/>
      <c r="S64" s="425"/>
      <c r="T64" s="425"/>
      <c r="U64" s="425"/>
      <c r="V64" s="425"/>
      <c r="W64" s="425"/>
      <c r="X64" s="425"/>
      <c r="Y64" s="425"/>
      <c r="Z64" s="425"/>
      <c r="AA64" s="425"/>
      <c r="AB64" s="425"/>
      <c r="AC64" s="425"/>
      <c r="AD64" s="425"/>
      <c r="AE64" s="425"/>
      <c r="AF64" s="425"/>
      <c r="AG64" s="425"/>
      <c r="AH64" s="425"/>
      <c r="AI64" s="425"/>
      <c r="AJ64" s="425"/>
      <c r="AK64" s="425"/>
      <c r="AL64" s="425"/>
      <c r="AM64" s="425"/>
      <c r="AN64" s="425"/>
      <c r="AO64" s="425"/>
      <c r="AP64" s="425"/>
      <c r="AQ64" s="425"/>
      <c r="AR64" s="426"/>
    </row>
    <row r="65" spans="1:44" s="107" customFormat="1" ht="33" customHeight="1" x14ac:dyDescent="0.25">
      <c r="A65" s="427" t="s">
        <v>213</v>
      </c>
      <c r="B65" s="428"/>
      <c r="C65" s="428"/>
      <c r="D65" s="428"/>
      <c r="E65" s="428"/>
      <c r="F65" s="428"/>
      <c r="G65" s="428"/>
      <c r="H65" s="428"/>
      <c r="I65" s="428"/>
      <c r="J65" s="428"/>
      <c r="K65" s="428"/>
      <c r="L65" s="428"/>
      <c r="M65" s="428"/>
      <c r="N65" s="428"/>
      <c r="O65" s="428"/>
      <c r="P65" s="428"/>
      <c r="Q65" s="428"/>
      <c r="R65" s="428"/>
      <c r="S65" s="428"/>
      <c r="T65" s="428"/>
      <c r="U65" s="428"/>
      <c r="V65" s="428"/>
      <c r="W65" s="428"/>
      <c r="X65" s="428"/>
      <c r="Y65" s="428"/>
      <c r="Z65" s="428"/>
      <c r="AA65" s="428"/>
      <c r="AB65" s="428"/>
      <c r="AC65" s="428"/>
      <c r="AD65" s="428"/>
      <c r="AE65" s="428"/>
      <c r="AF65" s="428"/>
      <c r="AG65" s="428"/>
      <c r="AH65" s="428"/>
      <c r="AI65" s="428"/>
      <c r="AJ65" s="428"/>
      <c r="AK65" s="428"/>
      <c r="AL65" s="428"/>
      <c r="AM65" s="428"/>
      <c r="AN65" s="428"/>
      <c r="AO65" s="428"/>
      <c r="AP65" s="428"/>
      <c r="AQ65" s="428"/>
      <c r="AR65" s="429"/>
    </row>
    <row r="66" spans="1:44" ht="64.5" customHeight="1" x14ac:dyDescent="0.25">
      <c r="A66" s="294" t="s">
        <v>210</v>
      </c>
      <c r="B66" s="295"/>
      <c r="C66" s="295"/>
      <c r="D66" s="295"/>
      <c r="E66" s="295"/>
      <c r="F66" s="295"/>
      <c r="G66" s="295"/>
      <c r="H66" s="295"/>
      <c r="I66" s="295"/>
      <c r="J66" s="295"/>
      <c r="K66" s="295"/>
      <c r="L66" s="295"/>
      <c r="M66" s="295"/>
      <c r="N66" s="295"/>
      <c r="O66" s="295"/>
      <c r="P66" s="295"/>
      <c r="Q66" s="295"/>
      <c r="R66" s="295"/>
      <c r="S66" s="295"/>
      <c r="T66" s="295"/>
      <c r="U66" s="295"/>
      <c r="V66" s="295"/>
      <c r="W66" s="295"/>
      <c r="X66" s="295"/>
      <c r="Y66" s="295"/>
      <c r="Z66" s="295"/>
      <c r="AA66" s="295"/>
      <c r="AB66" s="295"/>
      <c r="AC66" s="295"/>
      <c r="AD66" s="295"/>
      <c r="AE66" s="295"/>
      <c r="AF66" s="295"/>
      <c r="AG66" s="295"/>
      <c r="AH66" s="295"/>
      <c r="AI66" s="295"/>
      <c r="AJ66" s="295"/>
      <c r="AK66" s="295"/>
      <c r="AL66" s="295"/>
      <c r="AM66" s="295"/>
      <c r="AN66" s="295"/>
      <c r="AO66" s="295"/>
      <c r="AP66" s="295"/>
      <c r="AQ66" s="295"/>
      <c r="AR66" s="296"/>
    </row>
    <row r="67" spans="1:44" ht="3" customHeight="1" x14ac:dyDescent="0.25">
      <c r="A67" s="420"/>
      <c r="B67" s="295"/>
      <c r="C67" s="295"/>
      <c r="D67" s="295"/>
      <c r="E67" s="295"/>
      <c r="F67" s="295"/>
      <c r="G67" s="295"/>
      <c r="H67" s="295"/>
      <c r="I67" s="295"/>
      <c r="J67" s="295"/>
      <c r="K67" s="295"/>
      <c r="L67" s="295"/>
      <c r="M67" s="295"/>
      <c r="N67" s="295"/>
      <c r="O67" s="295"/>
      <c r="P67" s="295"/>
      <c r="Q67" s="295"/>
      <c r="R67" s="295"/>
      <c r="S67" s="295"/>
      <c r="T67" s="295"/>
      <c r="U67" s="295"/>
      <c r="V67" s="295"/>
      <c r="W67" s="295"/>
      <c r="X67" s="295"/>
      <c r="Y67" s="295"/>
      <c r="Z67" s="295"/>
      <c r="AA67" s="295"/>
      <c r="AB67" s="295"/>
      <c r="AC67" s="295"/>
      <c r="AD67" s="295"/>
      <c r="AE67" s="295"/>
      <c r="AF67" s="295"/>
      <c r="AG67" s="295"/>
      <c r="AH67" s="295"/>
      <c r="AI67" s="295"/>
      <c r="AJ67" s="295"/>
      <c r="AK67" s="295"/>
      <c r="AL67" s="295"/>
      <c r="AM67" s="295"/>
      <c r="AN67" s="295"/>
      <c r="AO67" s="295"/>
      <c r="AP67" s="295"/>
      <c r="AQ67" s="295"/>
      <c r="AR67" s="296"/>
    </row>
    <row r="68" spans="1:44" x14ac:dyDescent="0.25">
      <c r="A68" s="420" t="s">
        <v>226</v>
      </c>
      <c r="B68" s="295"/>
      <c r="C68" s="295"/>
      <c r="D68" s="295"/>
      <c r="E68" s="295"/>
      <c r="F68" s="295"/>
      <c r="G68" s="295"/>
      <c r="H68" s="295"/>
      <c r="I68" s="295"/>
      <c r="J68" s="295"/>
      <c r="K68" s="295"/>
      <c r="L68" s="295"/>
      <c r="M68" s="295"/>
      <c r="N68" s="295"/>
      <c r="O68" s="295"/>
      <c r="P68" s="295"/>
      <c r="Q68" s="295"/>
      <c r="R68" s="295"/>
      <c r="S68" s="295"/>
      <c r="T68" s="295"/>
      <c r="U68" s="295"/>
      <c r="V68" s="295"/>
      <c r="W68" s="295"/>
      <c r="X68" s="295"/>
      <c r="Y68" s="295"/>
      <c r="Z68" s="295"/>
      <c r="AA68" s="295"/>
      <c r="AB68" s="295"/>
      <c r="AC68" s="295"/>
      <c r="AD68" s="295"/>
      <c r="AE68" s="295"/>
      <c r="AF68" s="295"/>
      <c r="AG68" s="295"/>
      <c r="AH68" s="295"/>
      <c r="AI68" s="295"/>
      <c r="AJ68" s="295"/>
      <c r="AK68" s="295"/>
      <c r="AL68" s="295"/>
      <c r="AM68" s="295"/>
      <c r="AN68" s="295"/>
      <c r="AO68" s="295"/>
      <c r="AP68" s="295"/>
      <c r="AQ68" s="295"/>
      <c r="AR68" s="296"/>
    </row>
    <row r="69" spans="1:44" x14ac:dyDescent="0.25">
      <c r="A69" s="420" t="s">
        <v>225</v>
      </c>
      <c r="B69" s="295"/>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5"/>
      <c r="AA69" s="295"/>
      <c r="AB69" s="295"/>
      <c r="AC69" s="295"/>
      <c r="AD69" s="295"/>
      <c r="AE69" s="295"/>
      <c r="AF69" s="295"/>
      <c r="AG69" s="295"/>
      <c r="AH69" s="295"/>
      <c r="AI69" s="295"/>
      <c r="AJ69" s="295"/>
      <c r="AK69" s="295"/>
      <c r="AL69" s="295"/>
      <c r="AM69" s="295"/>
      <c r="AN69" s="295"/>
      <c r="AO69" s="295"/>
      <c r="AP69" s="295"/>
      <c r="AQ69" s="295"/>
      <c r="AR69" s="296"/>
    </row>
    <row r="70" spans="1:44" ht="3" customHeight="1" thickBot="1" x14ac:dyDescent="0.3">
      <c r="A70" s="421"/>
      <c r="B70" s="422"/>
      <c r="C70" s="422"/>
      <c r="D70" s="422"/>
      <c r="E70" s="422"/>
      <c r="F70" s="422"/>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2"/>
      <c r="AK70" s="422"/>
      <c r="AL70" s="422"/>
      <c r="AM70" s="422"/>
      <c r="AN70" s="422"/>
      <c r="AO70" s="422"/>
      <c r="AP70" s="422"/>
      <c r="AQ70" s="422"/>
      <c r="AR70" s="423"/>
    </row>
  </sheetData>
  <mergeCells count="19">
    <mergeCell ref="A70:AR70"/>
    <mergeCell ref="J7:Q7"/>
    <mergeCell ref="S7:Z7"/>
    <mergeCell ref="AB7:AI7"/>
    <mergeCell ref="A63:AR63"/>
    <mergeCell ref="A66:AR66"/>
    <mergeCell ref="A64:AR64"/>
    <mergeCell ref="A65:AR65"/>
    <mergeCell ref="A68:AR68"/>
    <mergeCell ref="A69:AR69"/>
    <mergeCell ref="A59:AR59"/>
    <mergeCell ref="A60:AR60"/>
    <mergeCell ref="A7:H7"/>
    <mergeCell ref="AK7:AR7"/>
    <mergeCell ref="A3:AR3"/>
    <mergeCell ref="A4:AR4"/>
    <mergeCell ref="A5:AR5"/>
    <mergeCell ref="A61:AR61"/>
    <mergeCell ref="A67:AR67"/>
  </mergeCells>
  <pageMargins left="0.70866141732283472" right="0.70866141732283472" top="0.74803149606299213" bottom="0.74803149606299213" header="0.31496062992125984" footer="0.31496062992125984"/>
  <pageSetup paperSize="8" scale="67"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sheetPr>
  <dimension ref="A1:AF71"/>
  <sheetViews>
    <sheetView view="pageBreakPreview" topLeftCell="A58" zoomScaleNormal="100" zoomScaleSheetLayoutView="100" workbookViewId="0">
      <selection activeCell="A61" sqref="A61:Z61"/>
    </sheetView>
  </sheetViews>
  <sheetFormatPr defaultRowHeight="15" outlineLevelRow="1" outlineLevelCol="1" x14ac:dyDescent="0.25"/>
  <cols>
    <col min="1" max="1" width="6.28515625" customWidth="1"/>
    <col min="2" max="2" width="7.140625" customWidth="1"/>
    <col min="3" max="3" width="8.5703125" customWidth="1"/>
    <col min="4" max="4" width="12.42578125" customWidth="1"/>
    <col min="5" max="6" width="7.42578125" customWidth="1"/>
    <col min="7" max="8" width="8.140625" customWidth="1"/>
    <col min="9" max="9" width="1" customWidth="1"/>
    <col min="10" max="10" width="6.28515625" customWidth="1" outlineLevel="1"/>
    <col min="11" max="11" width="7.140625" hidden="1" customWidth="1" outlineLevel="1"/>
    <col min="12" max="12" width="8.5703125" customWidth="1" outlineLevel="1"/>
    <col min="13" max="13" width="12.42578125" customWidth="1" outlineLevel="1"/>
    <col min="14" max="15" width="7.42578125" customWidth="1" outlineLevel="1"/>
    <col min="16" max="17" width="8.140625" customWidth="1" outlineLevel="1"/>
    <col min="18" max="18" width="1.42578125" customWidth="1"/>
    <col min="19" max="19" width="2.7109375" style="1" customWidth="1"/>
    <col min="20" max="20" width="10" style="1" customWidth="1"/>
    <col min="21" max="21" width="3.42578125" customWidth="1"/>
    <col min="22" max="22" width="8" customWidth="1"/>
    <col min="23" max="23" width="10.7109375" customWidth="1"/>
    <col min="24" max="24" width="2.85546875" customWidth="1"/>
    <col min="25" max="25" width="36.28515625" customWidth="1"/>
    <col min="26" max="26" width="9.140625" style="72"/>
    <col min="29" max="29" width="10.7109375" bestFit="1" customWidth="1"/>
    <col min="30" max="31" width="11.42578125" customWidth="1"/>
    <col min="32" max="32" width="10.7109375" bestFit="1" customWidth="1"/>
  </cols>
  <sheetData>
    <row r="1" spans="1:32" x14ac:dyDescent="0.25">
      <c r="A1" s="1" t="s">
        <v>129</v>
      </c>
      <c r="C1" s="1"/>
      <c r="F1" s="22">
        <v>2.5000000000000001E-3</v>
      </c>
      <c r="O1" s="1" t="s">
        <v>437</v>
      </c>
    </row>
    <row r="2" spans="1:32" ht="5.25" customHeight="1" thickBot="1" x14ac:dyDescent="0.3"/>
    <row r="3" spans="1:32" ht="15.75" outlineLevel="1" x14ac:dyDescent="0.25">
      <c r="A3" s="411" t="s">
        <v>183</v>
      </c>
      <c r="B3" s="412"/>
      <c r="C3" s="412"/>
      <c r="D3" s="412"/>
      <c r="E3" s="412"/>
      <c r="F3" s="412"/>
      <c r="G3" s="412"/>
      <c r="H3" s="412"/>
      <c r="I3" s="412"/>
      <c r="J3" s="412"/>
      <c r="K3" s="412"/>
      <c r="L3" s="412"/>
      <c r="M3" s="412"/>
      <c r="N3" s="412"/>
      <c r="O3" s="412"/>
      <c r="P3" s="412"/>
      <c r="Q3" s="412"/>
      <c r="R3" s="412"/>
      <c r="S3" s="412"/>
      <c r="T3" s="412"/>
      <c r="U3" s="412"/>
      <c r="V3" s="412"/>
      <c r="W3" s="412"/>
      <c r="X3" s="412"/>
      <c r="Y3" s="412"/>
      <c r="Z3" s="413"/>
    </row>
    <row r="4" spans="1:32" outlineLevel="1" x14ac:dyDescent="0.25">
      <c r="A4" s="414" t="s">
        <v>435</v>
      </c>
      <c r="B4" s="415"/>
      <c r="C4" s="415"/>
      <c r="D4" s="415"/>
      <c r="E4" s="415"/>
      <c r="F4" s="415"/>
      <c r="G4" s="415"/>
      <c r="H4" s="415"/>
      <c r="I4" s="415"/>
      <c r="J4" s="415"/>
      <c r="K4" s="415"/>
      <c r="L4" s="415"/>
      <c r="M4" s="415"/>
      <c r="N4" s="415"/>
      <c r="O4" s="415"/>
      <c r="P4" s="415"/>
      <c r="Q4" s="415"/>
      <c r="R4" s="415"/>
      <c r="S4" s="415"/>
      <c r="T4" s="415"/>
      <c r="U4" s="415"/>
      <c r="V4" s="415"/>
      <c r="W4" s="415"/>
      <c r="X4" s="415"/>
      <c r="Y4" s="415"/>
      <c r="Z4" s="416"/>
    </row>
    <row r="5" spans="1:32" ht="15.75" outlineLevel="1" thickBot="1" x14ac:dyDescent="0.3">
      <c r="A5" s="417" t="s">
        <v>436</v>
      </c>
      <c r="B5" s="418"/>
      <c r="C5" s="418"/>
      <c r="D5" s="418"/>
      <c r="E5" s="418"/>
      <c r="F5" s="418"/>
      <c r="G5" s="418"/>
      <c r="H5" s="418"/>
      <c r="I5" s="418"/>
      <c r="J5" s="418"/>
      <c r="K5" s="418"/>
      <c r="L5" s="418"/>
      <c r="M5" s="418"/>
      <c r="N5" s="418"/>
      <c r="O5" s="418"/>
      <c r="P5" s="418"/>
      <c r="Q5" s="418"/>
      <c r="R5" s="418"/>
      <c r="S5" s="418"/>
      <c r="T5" s="418"/>
      <c r="U5" s="418"/>
      <c r="V5" s="418"/>
      <c r="W5" s="418"/>
      <c r="X5" s="418"/>
      <c r="Y5" s="418"/>
      <c r="Z5" s="419"/>
    </row>
    <row r="6" spans="1:32" ht="12" customHeight="1" thickBot="1" x14ac:dyDescent="0.3"/>
    <row r="7" spans="1:32" ht="15.75" thickBot="1" x14ac:dyDescent="0.3">
      <c r="A7" s="284" t="s">
        <v>199</v>
      </c>
      <c r="B7" s="285"/>
      <c r="C7" s="285"/>
      <c r="D7" s="285"/>
      <c r="E7" s="285"/>
      <c r="F7" s="285"/>
      <c r="G7" s="285"/>
      <c r="H7" s="286"/>
      <c r="I7" s="242"/>
      <c r="J7" s="284" t="s">
        <v>354</v>
      </c>
      <c r="K7" s="285"/>
      <c r="L7" s="285"/>
      <c r="M7" s="285"/>
      <c r="N7" s="285"/>
      <c r="O7" s="285"/>
      <c r="P7" s="285"/>
      <c r="Q7" s="286"/>
      <c r="R7" s="242"/>
      <c r="S7" s="302" t="s">
        <v>185</v>
      </c>
      <c r="T7" s="303"/>
      <c r="U7" s="303"/>
      <c r="V7" s="303"/>
      <c r="W7" s="303"/>
      <c r="X7" s="303"/>
      <c r="Y7" s="303"/>
      <c r="Z7" s="304"/>
    </row>
    <row r="8" spans="1:32" s="1" customFormat="1" ht="33.75" customHeight="1" thickBot="1" x14ac:dyDescent="0.3">
      <c r="A8" s="24" t="s">
        <v>99</v>
      </c>
      <c r="B8" s="25" t="s">
        <v>98</v>
      </c>
      <c r="C8" s="26" t="s">
        <v>92</v>
      </c>
      <c r="D8" s="26" t="s">
        <v>93</v>
      </c>
      <c r="E8" s="26" t="s">
        <v>97</v>
      </c>
      <c r="F8" s="26" t="s">
        <v>96</v>
      </c>
      <c r="G8" s="26" t="s">
        <v>95</v>
      </c>
      <c r="H8" s="27" t="s">
        <v>104</v>
      </c>
      <c r="I8" s="74"/>
      <c r="J8" s="24" t="s">
        <v>99</v>
      </c>
      <c r="K8" s="25" t="s">
        <v>98</v>
      </c>
      <c r="L8" s="26" t="s">
        <v>92</v>
      </c>
      <c r="M8" s="26" t="s">
        <v>93</v>
      </c>
      <c r="N8" s="26" t="s">
        <v>97</v>
      </c>
      <c r="O8" s="26" t="s">
        <v>96</v>
      </c>
      <c r="P8" s="26" t="s">
        <v>95</v>
      </c>
      <c r="Q8" s="27" t="s">
        <v>104</v>
      </c>
      <c r="R8" s="74"/>
      <c r="S8" s="78"/>
      <c r="T8" s="79" t="s">
        <v>172</v>
      </c>
      <c r="U8" s="79"/>
      <c r="V8" s="79" t="s">
        <v>168</v>
      </c>
      <c r="W8" s="79" t="s">
        <v>169</v>
      </c>
      <c r="X8" s="79" t="s">
        <v>152</v>
      </c>
      <c r="Y8" s="79" t="s">
        <v>170</v>
      </c>
      <c r="Z8" s="80" t="s">
        <v>171</v>
      </c>
    </row>
    <row r="9" spans="1:32" x14ac:dyDescent="0.25">
      <c r="A9" s="28">
        <v>0</v>
      </c>
      <c r="B9" s="33">
        <v>43647</v>
      </c>
      <c r="C9" s="31">
        <f>(50000/12)</f>
        <v>4166.666666666667</v>
      </c>
      <c r="D9" s="31">
        <f>+C9/(1+F$1)^A9</f>
        <v>4166.666666666667</v>
      </c>
      <c r="E9" s="31">
        <f>+D$57/48</f>
        <v>4047.7084241136108</v>
      </c>
      <c r="F9" s="31">
        <f>+D$57-E9</f>
        <v>190242.29593333972</v>
      </c>
      <c r="G9" s="31">
        <f>+(D$57-C9)*F$1</f>
        <v>475.30834422696665</v>
      </c>
      <c r="H9" s="32">
        <f>+D$57-C9+G9</f>
        <v>190598.64603501363</v>
      </c>
      <c r="I9" s="31"/>
      <c r="J9" s="28"/>
      <c r="K9" s="33"/>
      <c r="L9" s="31"/>
      <c r="M9" s="31"/>
      <c r="N9" s="31"/>
      <c r="O9" s="31"/>
      <c r="P9" s="31"/>
      <c r="Q9" s="32"/>
      <c r="R9" s="31"/>
      <c r="S9" s="124" t="s">
        <v>109</v>
      </c>
      <c r="T9" s="126">
        <v>43647</v>
      </c>
      <c r="U9" s="125" t="s">
        <v>0</v>
      </c>
      <c r="V9" s="40">
        <v>5311002</v>
      </c>
      <c r="W9" s="40">
        <v>7321</v>
      </c>
      <c r="X9" s="40"/>
      <c r="Y9" s="40" t="s">
        <v>146</v>
      </c>
      <c r="Z9" s="70">
        <f>+D57</f>
        <v>194290.00435745332</v>
      </c>
      <c r="AC9" s="274"/>
      <c r="AD9" s="274"/>
      <c r="AE9" s="274"/>
      <c r="AF9" s="274"/>
    </row>
    <row r="10" spans="1:32" x14ac:dyDescent="0.25">
      <c r="A10" s="28">
        <v>1</v>
      </c>
      <c r="B10" s="33">
        <v>43678</v>
      </c>
      <c r="C10" s="31">
        <f t="shared" ref="C10:C20" si="0">(50000/12)</f>
        <v>4166.666666666667</v>
      </c>
      <c r="D10" s="31">
        <f>+C10/(1+F$1)^A10</f>
        <v>4156.2759767248554</v>
      </c>
      <c r="E10" s="31">
        <f t="shared" ref="E10:E56" si="1">+D$57/48</f>
        <v>4047.7084241136108</v>
      </c>
      <c r="F10" s="31">
        <f t="shared" ref="F10:F56" si="2">+F9-E10</f>
        <v>186194.58750922611</v>
      </c>
      <c r="G10" s="31">
        <f>+(H9-C10)*F$1</f>
        <v>466.07994842086742</v>
      </c>
      <c r="H10" s="32">
        <f t="shared" ref="H10:H56" si="3">+H9-C10+G10</f>
        <v>186898.05931676785</v>
      </c>
      <c r="I10" s="31"/>
      <c r="J10" s="28"/>
      <c r="K10" s="33"/>
      <c r="L10" s="31"/>
      <c r="M10" s="31"/>
      <c r="N10" s="31"/>
      <c r="O10" s="31"/>
      <c r="P10" s="31"/>
      <c r="Q10" s="32"/>
      <c r="R10" s="31"/>
      <c r="S10" s="115"/>
      <c r="T10" s="116"/>
      <c r="U10" s="116" t="s">
        <v>1</v>
      </c>
      <c r="V10" s="40">
        <v>3240102</v>
      </c>
      <c r="W10" s="40"/>
      <c r="X10" s="40"/>
      <c r="Y10" s="40" t="s">
        <v>270</v>
      </c>
      <c r="Z10" s="70">
        <f>Z9</f>
        <v>194290.00435745332</v>
      </c>
      <c r="AC10" s="72"/>
      <c r="AD10" s="72"/>
      <c r="AE10" s="72"/>
      <c r="AF10" s="72"/>
    </row>
    <row r="11" spans="1:32" x14ac:dyDescent="0.25">
      <c r="A11" s="28">
        <v>2</v>
      </c>
      <c r="B11" s="33">
        <v>43709</v>
      </c>
      <c r="C11" s="31">
        <f t="shared" si="0"/>
        <v>4166.666666666667</v>
      </c>
      <c r="D11" s="31">
        <f t="shared" ref="D11:D55" si="4">+C11/(1+F$1)^A11</f>
        <v>4145.9111987280348</v>
      </c>
      <c r="E11" s="31">
        <f t="shared" si="1"/>
        <v>4047.7084241136108</v>
      </c>
      <c r="F11" s="31">
        <f>+F10-E11</f>
        <v>182146.87908511251</v>
      </c>
      <c r="G11" s="31">
        <f t="shared" ref="G11:G56" si="5">+(H10-C11)*F$1</f>
        <v>456.828481625253</v>
      </c>
      <c r="H11" s="32">
        <f t="shared" si="3"/>
        <v>183188.22113172643</v>
      </c>
      <c r="I11" s="31"/>
      <c r="J11" s="28"/>
      <c r="K11" s="33"/>
      <c r="L11" s="31"/>
      <c r="M11" s="31"/>
      <c r="N11" s="31"/>
      <c r="O11" s="31"/>
      <c r="P11" s="31"/>
      <c r="Q11" s="32"/>
      <c r="R11" s="31"/>
      <c r="S11" s="115" t="s">
        <v>198</v>
      </c>
      <c r="T11" s="116"/>
      <c r="U11" s="116"/>
      <c r="V11" s="40"/>
      <c r="W11" s="40"/>
      <c r="X11" s="40"/>
      <c r="Y11" s="40"/>
      <c r="Z11" s="70"/>
      <c r="AC11" s="72"/>
      <c r="AD11" s="72"/>
      <c r="AE11" s="72"/>
      <c r="AF11" s="72"/>
    </row>
    <row r="12" spans="1:32" ht="15" customHeight="1" x14ac:dyDescent="0.25">
      <c r="A12" s="28">
        <v>3</v>
      </c>
      <c r="B12" s="33">
        <v>43739</v>
      </c>
      <c r="C12" s="31">
        <f t="shared" si="0"/>
        <v>4166.666666666667</v>
      </c>
      <c r="D12" s="31">
        <f t="shared" si="4"/>
        <v>4135.5722680578911</v>
      </c>
      <c r="E12" s="31">
        <f t="shared" si="1"/>
        <v>4047.7084241136108</v>
      </c>
      <c r="F12" s="31">
        <f>+F11-E12</f>
        <v>178099.17066099891</v>
      </c>
      <c r="G12" s="31">
        <f t="shared" si="5"/>
        <v>447.55388616264946</v>
      </c>
      <c r="H12" s="32">
        <f t="shared" si="3"/>
        <v>179469.10835122241</v>
      </c>
      <c r="I12" s="31"/>
      <c r="J12" s="28"/>
      <c r="K12" s="33"/>
      <c r="L12" s="31"/>
      <c r="M12" s="31"/>
      <c r="N12" s="31"/>
      <c r="O12" s="31"/>
      <c r="P12" s="31"/>
      <c r="Q12" s="32"/>
      <c r="R12" s="31"/>
      <c r="S12" s="115"/>
      <c r="T12" s="116"/>
      <c r="U12" s="116"/>
      <c r="V12" s="40"/>
      <c r="W12" s="40"/>
      <c r="X12" s="40"/>
      <c r="Y12" s="40"/>
      <c r="Z12" s="70"/>
    </row>
    <row r="13" spans="1:32" x14ac:dyDescent="0.25">
      <c r="A13" s="28">
        <v>4</v>
      </c>
      <c r="B13" s="33">
        <v>43770</v>
      </c>
      <c r="C13" s="31">
        <f t="shared" si="0"/>
        <v>4166.666666666667</v>
      </c>
      <c r="D13" s="31">
        <f t="shared" si="4"/>
        <v>4125.2591202572476</v>
      </c>
      <c r="E13" s="31">
        <f t="shared" si="1"/>
        <v>4047.7084241136108</v>
      </c>
      <c r="F13" s="31">
        <f t="shared" si="2"/>
        <v>174051.4622368853</v>
      </c>
      <c r="G13" s="31">
        <f t="shared" si="5"/>
        <v>438.25610421138941</v>
      </c>
      <c r="H13" s="32">
        <f t="shared" si="3"/>
        <v>175740.69778876714</v>
      </c>
      <c r="I13" s="31"/>
      <c r="J13" s="28"/>
      <c r="K13" s="33"/>
      <c r="L13" s="31"/>
      <c r="M13" s="31"/>
      <c r="N13" s="31"/>
      <c r="O13" s="31"/>
      <c r="P13" s="31"/>
      <c r="Q13" s="32"/>
      <c r="R13" s="31"/>
      <c r="S13" s="115" t="s">
        <v>110</v>
      </c>
      <c r="T13" s="116" t="s">
        <v>32</v>
      </c>
      <c r="U13" s="116" t="s">
        <v>0</v>
      </c>
      <c r="V13" s="40">
        <v>2241002</v>
      </c>
      <c r="W13" s="40"/>
      <c r="X13" s="40"/>
      <c r="Y13" s="40" t="s">
        <v>251</v>
      </c>
      <c r="Z13" s="70">
        <f>SUM(E9:E20)</f>
        <v>48572.50108936333</v>
      </c>
    </row>
    <row r="14" spans="1:32" x14ac:dyDescent="0.25">
      <c r="A14" s="28">
        <v>5</v>
      </c>
      <c r="B14" s="33">
        <v>43800</v>
      </c>
      <c r="C14" s="31">
        <f t="shared" si="0"/>
        <v>4166.666666666667</v>
      </c>
      <c r="D14" s="31">
        <f t="shared" si="4"/>
        <v>4114.9716910296738</v>
      </c>
      <c r="E14" s="31">
        <f t="shared" si="1"/>
        <v>4047.7084241136108</v>
      </c>
      <c r="F14" s="31">
        <f t="shared" si="2"/>
        <v>170003.7538127717</v>
      </c>
      <c r="G14" s="31">
        <f t="shared" si="5"/>
        <v>428.93507780525124</v>
      </c>
      <c r="H14" s="32">
        <f t="shared" si="3"/>
        <v>172002.96619990573</v>
      </c>
      <c r="I14" s="31"/>
      <c r="J14" s="28"/>
      <c r="K14" s="33"/>
      <c r="L14" s="31"/>
      <c r="M14" s="31"/>
      <c r="N14" s="31"/>
      <c r="O14" s="31"/>
      <c r="P14" s="31"/>
      <c r="Q14" s="32"/>
      <c r="R14" s="31"/>
      <c r="S14" s="115"/>
      <c r="T14" s="116"/>
      <c r="U14" s="116" t="s">
        <v>1</v>
      </c>
      <c r="V14" s="40">
        <v>5311002</v>
      </c>
      <c r="W14" s="40">
        <v>7353</v>
      </c>
      <c r="X14" s="40"/>
      <c r="Y14" s="40" t="s">
        <v>105</v>
      </c>
      <c r="Z14" s="70">
        <f>Z13</f>
        <v>48572.50108936333</v>
      </c>
    </row>
    <row r="15" spans="1:32" x14ac:dyDescent="0.25">
      <c r="A15" s="28">
        <v>6</v>
      </c>
      <c r="B15" s="33">
        <v>43831</v>
      </c>
      <c r="C15" s="31">
        <f t="shared" si="0"/>
        <v>4166.666666666667</v>
      </c>
      <c r="D15" s="31">
        <f t="shared" si="4"/>
        <v>4104.7099162390768</v>
      </c>
      <c r="E15" s="31">
        <f t="shared" si="1"/>
        <v>4047.7084241136108</v>
      </c>
      <c r="F15" s="31">
        <f t="shared" si="2"/>
        <v>165956.04538865809</v>
      </c>
      <c r="G15" s="31">
        <f t="shared" si="5"/>
        <v>419.59074883309768</v>
      </c>
      <c r="H15" s="32">
        <f t="shared" si="3"/>
        <v>168255.89028207216</v>
      </c>
      <c r="I15" s="31"/>
      <c r="J15" s="28"/>
      <c r="K15" s="33"/>
      <c r="L15" s="31"/>
      <c r="M15" s="31"/>
      <c r="N15" s="31"/>
      <c r="O15" s="31"/>
      <c r="P15" s="31"/>
      <c r="Q15" s="32"/>
      <c r="R15" s="31"/>
      <c r="S15" s="115" t="s">
        <v>187</v>
      </c>
      <c r="T15" s="116"/>
      <c r="U15" s="116"/>
      <c r="V15" s="40"/>
      <c r="W15" s="40"/>
      <c r="X15" s="40"/>
      <c r="Y15" s="40"/>
      <c r="Z15" s="70"/>
    </row>
    <row r="16" spans="1:32" x14ac:dyDescent="0.25">
      <c r="A16" s="28">
        <v>7</v>
      </c>
      <c r="B16" s="33">
        <v>43862</v>
      </c>
      <c r="C16" s="31">
        <f t="shared" si="0"/>
        <v>4166.666666666667</v>
      </c>
      <c r="D16" s="31">
        <f t="shared" si="4"/>
        <v>4094.4737319093038</v>
      </c>
      <c r="E16" s="31">
        <f t="shared" si="1"/>
        <v>4047.7084241136108</v>
      </c>
      <c r="F16" s="31">
        <f t="shared" si="2"/>
        <v>161908.33696454449</v>
      </c>
      <c r="G16" s="31">
        <f t="shared" si="5"/>
        <v>410.22305903851378</v>
      </c>
      <c r="H16" s="32">
        <f t="shared" si="3"/>
        <v>164499.44667444401</v>
      </c>
      <c r="I16" s="31"/>
      <c r="J16" s="28"/>
      <c r="K16" s="33"/>
      <c r="L16" s="31"/>
      <c r="M16" s="31"/>
      <c r="N16" s="31"/>
      <c r="O16" s="31"/>
      <c r="P16" s="31"/>
      <c r="Q16" s="32"/>
      <c r="R16" s="31"/>
      <c r="S16" s="115"/>
      <c r="T16" s="116"/>
      <c r="U16" s="116"/>
      <c r="V16" s="40"/>
      <c r="W16" s="40"/>
      <c r="X16" s="40"/>
      <c r="Y16" s="40"/>
      <c r="Z16" s="70"/>
    </row>
    <row r="17" spans="1:28" x14ac:dyDescent="0.25">
      <c r="A17" s="28">
        <v>8</v>
      </c>
      <c r="B17" s="33">
        <v>43891</v>
      </c>
      <c r="C17" s="31">
        <f t="shared" si="0"/>
        <v>4166.666666666667</v>
      </c>
      <c r="D17" s="31">
        <f t="shared" si="4"/>
        <v>4084.2630742237438</v>
      </c>
      <c r="E17" s="31">
        <f t="shared" si="1"/>
        <v>4047.7084241136108</v>
      </c>
      <c r="F17" s="31">
        <f t="shared" si="2"/>
        <v>157860.62854043089</v>
      </c>
      <c r="G17" s="31">
        <f t="shared" si="5"/>
        <v>400.83195001944341</v>
      </c>
      <c r="H17" s="32">
        <f t="shared" si="3"/>
        <v>160733.61195779679</v>
      </c>
      <c r="I17" s="31"/>
      <c r="J17" s="28"/>
      <c r="K17" s="33"/>
      <c r="L17" s="31"/>
      <c r="M17" s="31"/>
      <c r="N17" s="31"/>
      <c r="O17" s="31"/>
      <c r="P17" s="31"/>
      <c r="Q17" s="32"/>
      <c r="R17" s="31"/>
      <c r="S17" s="115" t="s">
        <v>111</v>
      </c>
      <c r="T17" s="116" t="s">
        <v>32</v>
      </c>
      <c r="U17" s="116" t="s">
        <v>0</v>
      </c>
      <c r="V17" s="40">
        <v>3240106</v>
      </c>
      <c r="W17" s="40"/>
      <c r="X17" s="40"/>
      <c r="Y17" s="40" t="s">
        <v>271</v>
      </c>
      <c r="Z17" s="70">
        <f>Z19-Z18</f>
        <v>44910.478275057023</v>
      </c>
    </row>
    <row r="18" spans="1:28" x14ac:dyDescent="0.25">
      <c r="A18" s="28">
        <v>9</v>
      </c>
      <c r="B18" s="33">
        <v>43922</v>
      </c>
      <c r="C18" s="31">
        <f t="shared" si="0"/>
        <v>4166.666666666667</v>
      </c>
      <c r="D18" s="31">
        <f t="shared" si="4"/>
        <v>4074.0778795249316</v>
      </c>
      <c r="E18" s="31">
        <f t="shared" si="1"/>
        <v>4047.7084241136108</v>
      </c>
      <c r="F18" s="31">
        <f t="shared" si="2"/>
        <v>153812.92011631728</v>
      </c>
      <c r="G18" s="31">
        <f t="shared" si="5"/>
        <v>391.41736322782532</v>
      </c>
      <c r="H18" s="32">
        <f t="shared" si="3"/>
        <v>156958.36265435797</v>
      </c>
      <c r="I18" s="31"/>
      <c r="J18" s="28"/>
      <c r="K18" s="33"/>
      <c r="L18" s="31"/>
      <c r="M18" s="31"/>
      <c r="N18" s="31"/>
      <c r="O18" s="31"/>
      <c r="P18" s="31"/>
      <c r="Q18" s="32"/>
      <c r="R18" s="31"/>
      <c r="S18" s="115"/>
      <c r="T18" s="116"/>
      <c r="U18" s="116" t="s">
        <v>0</v>
      </c>
      <c r="V18" s="40">
        <v>2422020</v>
      </c>
      <c r="W18" s="40"/>
      <c r="X18" s="40"/>
      <c r="Y18" s="40" t="s">
        <v>161</v>
      </c>
      <c r="Z18" s="70">
        <f>SUM(G9:G20)</f>
        <v>5089.5217249429706</v>
      </c>
    </row>
    <row r="19" spans="1:28" x14ac:dyDescent="0.25">
      <c r="A19" s="28">
        <v>10</v>
      </c>
      <c r="B19" s="33">
        <v>43952</v>
      </c>
      <c r="C19" s="31">
        <f t="shared" si="0"/>
        <v>4166.666666666667</v>
      </c>
      <c r="D19" s="31">
        <f t="shared" si="4"/>
        <v>4063.9180843141467</v>
      </c>
      <c r="E19" s="31">
        <f t="shared" si="1"/>
        <v>4047.7084241136108</v>
      </c>
      <c r="F19" s="31">
        <f t="shared" si="2"/>
        <v>149765.21169220368</v>
      </c>
      <c r="G19" s="31">
        <f t="shared" si="5"/>
        <v>381.97923996922827</v>
      </c>
      <c r="H19" s="32">
        <f t="shared" si="3"/>
        <v>153173.67522766054</v>
      </c>
      <c r="I19" s="31"/>
      <c r="J19" s="28"/>
      <c r="K19" s="33"/>
      <c r="L19" s="31"/>
      <c r="M19" s="31"/>
      <c r="N19" s="31"/>
      <c r="O19" s="31"/>
      <c r="P19" s="31"/>
      <c r="Q19" s="32"/>
      <c r="R19" s="31"/>
      <c r="S19" s="115"/>
      <c r="T19" s="116"/>
      <c r="U19" s="116" t="s">
        <v>1</v>
      </c>
      <c r="V19" s="40"/>
      <c r="W19" s="40"/>
      <c r="X19" s="40"/>
      <c r="Y19" s="40" t="s">
        <v>31</v>
      </c>
      <c r="Z19" s="70">
        <f>SUM(C9:C20)</f>
        <v>49999.999999999993</v>
      </c>
    </row>
    <row r="20" spans="1:28" s="221" customFormat="1" ht="15.75" thickBot="1" x14ac:dyDescent="0.3">
      <c r="A20" s="217">
        <v>11</v>
      </c>
      <c r="B20" s="218">
        <v>43983</v>
      </c>
      <c r="C20" s="219">
        <f t="shared" si="0"/>
        <v>4166.666666666667</v>
      </c>
      <c r="D20" s="219">
        <f>+C20/(1+F$1)^A20</f>
        <v>4053.7836252510201</v>
      </c>
      <c r="E20" s="219">
        <f t="shared" si="1"/>
        <v>4047.7084241136108</v>
      </c>
      <c r="F20" s="271">
        <f t="shared" si="2"/>
        <v>145717.50326809008</v>
      </c>
      <c r="G20" s="271">
        <f t="shared" si="5"/>
        <v>372.5175214024847</v>
      </c>
      <c r="H20" s="272">
        <f t="shared" si="3"/>
        <v>149379.52608239636</v>
      </c>
      <c r="I20" s="219"/>
      <c r="J20" s="217"/>
      <c r="K20" s="218"/>
      <c r="L20" s="219"/>
      <c r="M20" s="219"/>
      <c r="N20" s="219"/>
      <c r="O20" s="220"/>
      <c r="P20" s="219"/>
      <c r="Q20" s="273"/>
      <c r="R20" s="219"/>
      <c r="S20" s="115" t="s">
        <v>117</v>
      </c>
      <c r="T20" s="116"/>
      <c r="U20" s="116"/>
      <c r="V20" s="116"/>
      <c r="W20" s="116"/>
      <c r="X20" s="116"/>
      <c r="Y20" s="116"/>
      <c r="Z20" s="159"/>
    </row>
    <row r="21" spans="1:28" x14ac:dyDescent="0.25">
      <c r="A21" s="28">
        <v>12</v>
      </c>
      <c r="B21" s="33">
        <v>44013</v>
      </c>
      <c r="C21" s="31">
        <f>((50000*1.03)/12)</f>
        <v>4291.666666666667</v>
      </c>
      <c r="D21" s="31">
        <f>+C21/(1+F$1)^A21</f>
        <v>4164.9846723277306</v>
      </c>
      <c r="E21" s="31">
        <f t="shared" si="1"/>
        <v>4047.7084241136108</v>
      </c>
      <c r="F21" s="31">
        <f t="shared" si="2"/>
        <v>141669.79484397647</v>
      </c>
      <c r="G21" s="31">
        <f t="shared" si="5"/>
        <v>362.71964853932428</v>
      </c>
      <c r="H21" s="32">
        <f t="shared" si="3"/>
        <v>145450.57906426903</v>
      </c>
      <c r="I21" s="31"/>
      <c r="J21" s="28"/>
      <c r="K21" s="33">
        <v>44013</v>
      </c>
      <c r="L21" s="31"/>
      <c r="M21" s="31"/>
      <c r="N21" s="31"/>
      <c r="O21" s="31"/>
      <c r="P21" s="31"/>
      <c r="Q21" s="32"/>
      <c r="R21" s="31"/>
      <c r="S21" s="124"/>
      <c r="T21" s="126"/>
      <c r="U21" s="126"/>
      <c r="V21" s="51"/>
      <c r="W21" s="51"/>
      <c r="X21" s="51"/>
      <c r="Y21" s="51"/>
      <c r="Z21" s="69"/>
    </row>
    <row r="22" spans="1:28" x14ac:dyDescent="0.25">
      <c r="A22" s="28">
        <v>13</v>
      </c>
      <c r="B22" s="33">
        <v>44044</v>
      </c>
      <c r="C22" s="31">
        <f t="shared" ref="C22:C44" si="6">((50000*1.03)/12)</f>
        <v>4291.666666666667</v>
      </c>
      <c r="D22" s="31">
        <f t="shared" si="4"/>
        <v>4154.5981768855163</v>
      </c>
      <c r="E22" s="31">
        <f t="shared" si="1"/>
        <v>4047.7084241136108</v>
      </c>
      <c r="F22" s="31">
        <f t="shared" si="2"/>
        <v>137622.08641986287</v>
      </c>
      <c r="G22" s="31">
        <f t="shared" si="5"/>
        <v>352.89728099400594</v>
      </c>
      <c r="H22" s="32">
        <f t="shared" si="3"/>
        <v>141511.80967859639</v>
      </c>
      <c r="I22" s="31"/>
      <c r="J22" s="28"/>
      <c r="K22" s="33">
        <v>44044</v>
      </c>
      <c r="L22" s="31"/>
      <c r="M22" s="31"/>
      <c r="N22" s="31"/>
      <c r="O22" s="31"/>
      <c r="P22" s="31"/>
      <c r="Q22" s="32"/>
      <c r="R22" s="31"/>
      <c r="S22" s="115" t="s">
        <v>112</v>
      </c>
      <c r="T22" s="116" t="s">
        <v>106</v>
      </c>
      <c r="U22" s="116" t="s">
        <v>0</v>
      </c>
      <c r="V22" s="40">
        <v>2241002</v>
      </c>
      <c r="W22" s="40"/>
      <c r="X22" s="40"/>
      <c r="Y22" s="40" t="s">
        <v>251</v>
      </c>
      <c r="Z22" s="70">
        <f>SUM(E21:E32)</f>
        <v>48572.50108936333</v>
      </c>
    </row>
    <row r="23" spans="1:28" x14ac:dyDescent="0.25">
      <c r="A23" s="28">
        <v>14</v>
      </c>
      <c r="B23" s="33">
        <v>44075</v>
      </c>
      <c r="C23" s="31">
        <f t="shared" si="6"/>
        <v>4291.666666666667</v>
      </c>
      <c r="D23" s="31">
        <f t="shared" si="4"/>
        <v>4144.2375829281973</v>
      </c>
      <c r="E23" s="31">
        <f t="shared" si="1"/>
        <v>4047.7084241136108</v>
      </c>
      <c r="F23" s="31">
        <f t="shared" si="2"/>
        <v>133574.37799574927</v>
      </c>
      <c r="G23" s="31">
        <f t="shared" si="5"/>
        <v>343.05035752982434</v>
      </c>
      <c r="H23" s="32">
        <f t="shared" si="3"/>
        <v>137563.19336945956</v>
      </c>
      <c r="I23" s="31"/>
      <c r="J23" s="28"/>
      <c r="K23" s="33">
        <v>44075</v>
      </c>
      <c r="L23" s="31"/>
      <c r="M23" s="31"/>
      <c r="N23" s="31"/>
      <c r="O23" s="31"/>
      <c r="P23" s="31"/>
      <c r="Q23" s="32"/>
      <c r="R23" s="31"/>
      <c r="S23" s="115"/>
      <c r="T23" s="116"/>
      <c r="U23" s="116" t="s">
        <v>1</v>
      </c>
      <c r="V23" s="40">
        <v>5311002</v>
      </c>
      <c r="W23" s="40">
        <v>7353</v>
      </c>
      <c r="X23" s="40"/>
      <c r="Y23" s="40" t="s">
        <v>105</v>
      </c>
      <c r="Z23" s="70">
        <f>Z22</f>
        <v>48572.50108936333</v>
      </c>
    </row>
    <row r="24" spans="1:28" x14ac:dyDescent="0.25">
      <c r="A24" s="28">
        <v>15</v>
      </c>
      <c r="B24" s="33">
        <v>44105</v>
      </c>
      <c r="C24" s="31">
        <f t="shared" si="6"/>
        <v>4291.666666666667</v>
      </c>
      <c r="D24" s="31">
        <f t="shared" si="4"/>
        <v>4133.902825863539</v>
      </c>
      <c r="E24" s="31">
        <f t="shared" si="1"/>
        <v>4047.7084241136108</v>
      </c>
      <c r="F24" s="31">
        <f t="shared" si="2"/>
        <v>129526.66957163566</v>
      </c>
      <c r="G24" s="31">
        <f t="shared" si="5"/>
        <v>333.17881675698226</v>
      </c>
      <c r="H24" s="32">
        <f t="shared" si="3"/>
        <v>133604.7055195499</v>
      </c>
      <c r="I24" s="31"/>
      <c r="J24" s="28"/>
      <c r="K24" s="33">
        <v>44105</v>
      </c>
      <c r="L24" s="31"/>
      <c r="M24" s="31"/>
      <c r="N24" s="31"/>
      <c r="O24" s="31"/>
      <c r="P24" s="31"/>
      <c r="Q24" s="32"/>
      <c r="R24" s="31"/>
      <c r="S24" s="139" t="s">
        <v>188</v>
      </c>
      <c r="T24" s="115"/>
      <c r="U24" s="115"/>
      <c r="V24" s="116"/>
      <c r="W24" s="40"/>
      <c r="X24" s="40"/>
      <c r="Y24" s="40"/>
      <c r="Z24" s="70"/>
    </row>
    <row r="25" spans="1:28" x14ac:dyDescent="0.25">
      <c r="A25" s="28">
        <v>16</v>
      </c>
      <c r="B25" s="33">
        <v>44136</v>
      </c>
      <c r="C25" s="31">
        <f t="shared" si="6"/>
        <v>4291.666666666667</v>
      </c>
      <c r="D25" s="31">
        <f t="shared" si="4"/>
        <v>4123.5938412603873</v>
      </c>
      <c r="E25" s="31">
        <f t="shared" si="1"/>
        <v>4047.7084241136108</v>
      </c>
      <c r="F25" s="31">
        <f t="shared" si="2"/>
        <v>125478.96114752206</v>
      </c>
      <c r="G25" s="31">
        <f t="shared" si="5"/>
        <v>323.28259713220808</v>
      </c>
      <c r="H25" s="32">
        <f t="shared" si="3"/>
        <v>129636.32145001543</v>
      </c>
      <c r="I25" s="31"/>
      <c r="J25" s="28"/>
      <c r="K25" s="33">
        <v>44136</v>
      </c>
      <c r="L25" s="31"/>
      <c r="M25" s="31"/>
      <c r="N25" s="31"/>
      <c r="O25" s="31"/>
      <c r="P25" s="31"/>
      <c r="Q25" s="32"/>
      <c r="R25" s="31"/>
      <c r="S25" s="115"/>
      <c r="T25" s="116"/>
      <c r="U25" s="116"/>
      <c r="V25" s="40"/>
      <c r="W25" s="40"/>
      <c r="X25" s="40"/>
      <c r="Y25" s="40"/>
      <c r="Z25" s="70"/>
    </row>
    <row r="26" spans="1:28" x14ac:dyDescent="0.25">
      <c r="A26" s="28">
        <v>17</v>
      </c>
      <c r="B26" s="33">
        <v>44166</v>
      </c>
      <c r="C26" s="31">
        <f t="shared" si="6"/>
        <v>4291.666666666667</v>
      </c>
      <c r="D26" s="31">
        <f t="shared" si="4"/>
        <v>4113.3105648482669</v>
      </c>
      <c r="E26" s="31">
        <f t="shared" si="1"/>
        <v>4047.7084241136108</v>
      </c>
      <c r="F26" s="31">
        <f t="shared" si="2"/>
        <v>121431.25272340846</v>
      </c>
      <c r="G26" s="31">
        <f t="shared" si="5"/>
        <v>313.36163695837189</v>
      </c>
      <c r="H26" s="32">
        <f t="shared" si="3"/>
        <v>125658.01642030713</v>
      </c>
      <c r="I26" s="31"/>
      <c r="J26" s="28"/>
      <c r="K26" s="33">
        <v>44166</v>
      </c>
      <c r="L26" s="31"/>
      <c r="M26" s="31"/>
      <c r="N26" s="31"/>
      <c r="O26" s="31"/>
      <c r="P26" s="31"/>
      <c r="Q26" s="32"/>
      <c r="R26" s="31"/>
      <c r="S26" s="134" t="s">
        <v>205</v>
      </c>
      <c r="T26" s="116" t="s">
        <v>106</v>
      </c>
      <c r="U26" s="116" t="s">
        <v>0</v>
      </c>
      <c r="V26" s="116">
        <v>3240106</v>
      </c>
      <c r="W26" s="116"/>
      <c r="X26" s="40"/>
      <c r="Y26" s="40" t="s">
        <v>271</v>
      </c>
      <c r="Z26" s="70">
        <f>Z28-Z27</f>
        <v>47801.073287525716</v>
      </c>
    </row>
    <row r="27" spans="1:28" x14ac:dyDescent="0.25">
      <c r="A27" s="28">
        <v>18</v>
      </c>
      <c r="B27" s="33">
        <v>44197</v>
      </c>
      <c r="C27" s="31">
        <f t="shared" si="6"/>
        <v>4291.666666666667</v>
      </c>
      <c r="D27" s="31">
        <f t="shared" si="4"/>
        <v>4103.0529325169746</v>
      </c>
      <c r="E27" s="31">
        <f t="shared" si="1"/>
        <v>4047.7084241136108</v>
      </c>
      <c r="F27" s="31">
        <f t="shared" si="2"/>
        <v>117383.54429929485</v>
      </c>
      <c r="G27" s="31">
        <f t="shared" si="5"/>
        <v>303.41587438410119</v>
      </c>
      <c r="H27" s="32">
        <f t="shared" si="3"/>
        <v>121669.76562802456</v>
      </c>
      <c r="I27" s="31"/>
      <c r="J27" s="28"/>
      <c r="K27" s="33">
        <v>44197</v>
      </c>
      <c r="L27" s="31"/>
      <c r="M27" s="31"/>
      <c r="N27" s="31"/>
      <c r="O27" s="31"/>
      <c r="P27" s="31"/>
      <c r="Q27" s="32"/>
      <c r="R27" s="31"/>
      <c r="S27" s="115"/>
      <c r="T27" s="116"/>
      <c r="U27" s="116" t="s">
        <v>0</v>
      </c>
      <c r="V27" s="40">
        <v>2422020</v>
      </c>
      <c r="W27" s="40"/>
      <c r="X27" s="40"/>
      <c r="Y27" s="40" t="s">
        <v>161</v>
      </c>
      <c r="Z27" s="70">
        <f>SUM(G21:G32)</f>
        <v>3698.9267124742764</v>
      </c>
    </row>
    <row r="28" spans="1:28" x14ac:dyDescent="0.25">
      <c r="A28" s="28">
        <v>19</v>
      </c>
      <c r="B28" s="33">
        <v>44228</v>
      </c>
      <c r="C28" s="31">
        <f t="shared" si="6"/>
        <v>4291.666666666667</v>
      </c>
      <c r="D28" s="31">
        <f t="shared" si="4"/>
        <v>4092.8208803161847</v>
      </c>
      <c r="E28" s="31">
        <f t="shared" si="1"/>
        <v>4047.7084241136108</v>
      </c>
      <c r="F28" s="31">
        <f t="shared" si="2"/>
        <v>113335.83587518125</v>
      </c>
      <c r="G28" s="31">
        <f t="shared" si="5"/>
        <v>293.44524740339472</v>
      </c>
      <c r="H28" s="32">
        <f t="shared" si="3"/>
        <v>117671.54420876128</v>
      </c>
      <c r="I28" s="31"/>
      <c r="J28" s="28"/>
      <c r="K28" s="33">
        <v>44228</v>
      </c>
      <c r="L28" s="31"/>
      <c r="M28" s="31"/>
      <c r="N28" s="31"/>
      <c r="O28" s="31"/>
      <c r="P28" s="31"/>
      <c r="Q28" s="32"/>
      <c r="R28" s="31"/>
      <c r="S28" s="115"/>
      <c r="T28" s="116"/>
      <c r="U28" s="116" t="s">
        <v>1</v>
      </c>
      <c r="V28" s="40"/>
      <c r="W28" s="40"/>
      <c r="X28" s="40"/>
      <c r="Y28" s="40" t="s">
        <v>31</v>
      </c>
      <c r="Z28" s="70">
        <f>SUM(C21:C32)</f>
        <v>51499.999999999993</v>
      </c>
    </row>
    <row r="29" spans="1:28" ht="15.75" thickBot="1" x14ac:dyDescent="0.3">
      <c r="A29" s="28">
        <v>20</v>
      </c>
      <c r="B29" s="33">
        <v>44256</v>
      </c>
      <c r="C29" s="31">
        <f t="shared" si="6"/>
        <v>4291.666666666667</v>
      </c>
      <c r="D29" s="31">
        <f t="shared" si="4"/>
        <v>4082.6143444550466</v>
      </c>
      <c r="E29" s="31">
        <f t="shared" si="1"/>
        <v>4047.7084241136108</v>
      </c>
      <c r="F29" s="31">
        <f t="shared" si="2"/>
        <v>109288.12745106764</v>
      </c>
      <c r="G29" s="31">
        <f t="shared" si="5"/>
        <v>283.44969385523649</v>
      </c>
      <c r="H29" s="32">
        <f t="shared" si="3"/>
        <v>113663.32723594984</v>
      </c>
      <c r="I29" s="31"/>
      <c r="J29" s="28"/>
      <c r="K29" s="33">
        <v>44256</v>
      </c>
      <c r="L29" s="31"/>
      <c r="M29" s="31"/>
      <c r="N29" s="31"/>
      <c r="O29" s="31"/>
      <c r="P29" s="31"/>
      <c r="Q29" s="32"/>
      <c r="R29" s="31"/>
      <c r="S29" s="115" t="s">
        <v>119</v>
      </c>
      <c r="T29" s="116"/>
      <c r="U29" s="116"/>
      <c r="V29" s="40"/>
      <c r="W29" s="40"/>
      <c r="X29" s="40"/>
      <c r="Y29" s="40"/>
      <c r="Z29" s="70"/>
    </row>
    <row r="30" spans="1:28" x14ac:dyDescent="0.25">
      <c r="A30" s="28">
        <v>21</v>
      </c>
      <c r="B30" s="33">
        <v>44287</v>
      </c>
      <c r="C30" s="31">
        <f t="shared" si="6"/>
        <v>4291.666666666667</v>
      </c>
      <c r="D30" s="31">
        <f t="shared" si="4"/>
        <v>4072.4332613017928</v>
      </c>
      <c r="E30" s="31">
        <f t="shared" si="1"/>
        <v>4047.7084241136108</v>
      </c>
      <c r="F30" s="31">
        <f t="shared" si="2"/>
        <v>105240.41902695404</v>
      </c>
      <c r="G30" s="31">
        <f t="shared" si="5"/>
        <v>273.42915142320794</v>
      </c>
      <c r="H30" s="32">
        <f t="shared" si="3"/>
        <v>109645.08972070637</v>
      </c>
      <c r="I30" s="31"/>
      <c r="J30" s="28"/>
      <c r="K30" s="33">
        <v>44287</v>
      </c>
      <c r="L30" s="31"/>
      <c r="M30" s="31"/>
      <c r="N30" s="31"/>
      <c r="O30" s="31"/>
      <c r="P30" s="31"/>
      <c r="Q30" s="32"/>
      <c r="R30" s="31"/>
      <c r="S30" s="124" t="s">
        <v>114</v>
      </c>
      <c r="T30" s="126">
        <v>44378</v>
      </c>
      <c r="U30" s="126" t="s">
        <v>0</v>
      </c>
      <c r="V30" s="51">
        <v>5311002</v>
      </c>
      <c r="W30" s="51">
        <v>7371</v>
      </c>
      <c r="X30" s="51"/>
      <c r="Y30" s="51" t="s">
        <v>146</v>
      </c>
      <c r="Z30" s="69">
        <f>+Z31</f>
        <v>5078.922639743294</v>
      </c>
    </row>
    <row r="31" spans="1:28" x14ac:dyDescent="0.25">
      <c r="A31" s="28">
        <v>22</v>
      </c>
      <c r="B31" s="33">
        <v>44317</v>
      </c>
      <c r="C31" s="31">
        <f t="shared" si="6"/>
        <v>4291.666666666667</v>
      </c>
      <c r="D31" s="31">
        <f t="shared" si="4"/>
        <v>4062.2775673833353</v>
      </c>
      <c r="E31" s="31">
        <f t="shared" si="1"/>
        <v>4047.7084241136108</v>
      </c>
      <c r="F31" s="31">
        <f t="shared" si="2"/>
        <v>101192.71060284044</v>
      </c>
      <c r="G31" s="31">
        <f t="shared" si="5"/>
        <v>263.38355763509924</v>
      </c>
      <c r="H31" s="32">
        <f t="shared" si="3"/>
        <v>105616.80661167479</v>
      </c>
      <c r="I31" s="31"/>
      <c r="J31" s="28"/>
      <c r="K31" s="33">
        <v>44317</v>
      </c>
      <c r="L31" s="31"/>
      <c r="M31" s="31"/>
      <c r="N31" s="31"/>
      <c r="O31" s="31"/>
      <c r="P31" s="31"/>
      <c r="Q31" s="32"/>
      <c r="R31" s="31"/>
      <c r="S31" s="115"/>
      <c r="T31" s="116"/>
      <c r="U31" s="116" t="s">
        <v>1</v>
      </c>
      <c r="V31" s="40">
        <v>3240102</v>
      </c>
      <c r="W31" s="40"/>
      <c r="X31" s="40"/>
      <c r="Y31" s="40" t="s">
        <v>270</v>
      </c>
      <c r="Z31" s="70">
        <f>+Q32-H32</f>
        <v>5078.922639743294</v>
      </c>
    </row>
    <row r="32" spans="1:28" s="221" customFormat="1" x14ac:dyDescent="0.25">
      <c r="A32" s="217">
        <v>23</v>
      </c>
      <c r="B32" s="218">
        <v>44348</v>
      </c>
      <c r="C32" s="219">
        <f t="shared" si="6"/>
        <v>4291.666666666667</v>
      </c>
      <c r="D32" s="219">
        <f>+C32/(1+F$1)^A32</f>
        <v>4052.1471993848727</v>
      </c>
      <c r="E32" s="219">
        <f t="shared" si="1"/>
        <v>4047.7084241136108</v>
      </c>
      <c r="F32" s="235">
        <f t="shared" si="2"/>
        <v>97145.002178726834</v>
      </c>
      <c r="G32" s="219">
        <f t="shared" si="5"/>
        <v>253.31284986252032</v>
      </c>
      <c r="H32" s="236">
        <f t="shared" si="3"/>
        <v>101578.45279487064</v>
      </c>
      <c r="I32" s="219"/>
      <c r="J32" s="217"/>
      <c r="K32" s="218">
        <v>44348</v>
      </c>
      <c r="L32" s="219"/>
      <c r="M32" s="219"/>
      <c r="N32" s="219"/>
      <c r="O32" s="185">
        <f>+F32+(Q32-H32)</f>
        <v>102223.92481847013</v>
      </c>
      <c r="P32" s="219"/>
      <c r="Q32" s="270">
        <f>+M57</f>
        <v>106657.37543461393</v>
      </c>
      <c r="R32" s="219"/>
      <c r="S32" s="115" t="s">
        <v>231</v>
      </c>
      <c r="T32" s="116"/>
      <c r="U32" s="116"/>
      <c r="V32" s="116"/>
      <c r="W32" s="116"/>
      <c r="X32" s="116"/>
      <c r="Y32" s="116"/>
      <c r="Z32" s="159"/>
      <c r="AB32" s="222"/>
    </row>
    <row r="33" spans="1:26" x14ac:dyDescent="0.25">
      <c r="A33" s="28">
        <v>24</v>
      </c>
      <c r="B33" s="33">
        <v>44378</v>
      </c>
      <c r="C33" s="31">
        <f t="shared" si="6"/>
        <v>4291.666666666667</v>
      </c>
      <c r="D33" s="31">
        <f t="shared" si="4"/>
        <v>4042.0420941494995</v>
      </c>
      <c r="E33" s="31">
        <f t="shared" si="1"/>
        <v>4047.7084241136108</v>
      </c>
      <c r="F33" s="31">
        <f t="shared" si="2"/>
        <v>93097.293754613231</v>
      </c>
      <c r="G33" s="31">
        <f t="shared" si="5"/>
        <v>243.21696532050993</v>
      </c>
      <c r="H33" s="32">
        <f t="shared" si="3"/>
        <v>97530.003093524472</v>
      </c>
      <c r="I33" s="31"/>
      <c r="J33" s="28">
        <v>0</v>
      </c>
      <c r="K33" s="33">
        <v>44378</v>
      </c>
      <c r="L33" s="31">
        <f>+C33*1.05</f>
        <v>4506.2500000000009</v>
      </c>
      <c r="M33" s="31">
        <f>+L33/(1+F$1)^J33</f>
        <v>4506.2500000000009</v>
      </c>
      <c r="N33" s="31">
        <f>+O$32/24</f>
        <v>4259.3302007695884</v>
      </c>
      <c r="O33" s="31">
        <f>+O32-N33</f>
        <v>97964.594617700539</v>
      </c>
      <c r="P33" s="31">
        <f>+(Q32-L33)*F$1</f>
        <v>255.37781358653484</v>
      </c>
      <c r="Q33" s="32">
        <f>+Q32-L33+P33</f>
        <v>102406.50324820046</v>
      </c>
      <c r="R33" s="31"/>
      <c r="S33" s="115"/>
      <c r="T33" s="116"/>
      <c r="U33" s="116"/>
      <c r="V33" s="40"/>
      <c r="W33" s="40"/>
      <c r="X33" s="40"/>
      <c r="Y33" s="40"/>
      <c r="Z33" s="70"/>
    </row>
    <row r="34" spans="1:26" x14ac:dyDescent="0.25">
      <c r="A34" s="28">
        <v>25</v>
      </c>
      <c r="B34" s="33">
        <v>44409</v>
      </c>
      <c r="C34" s="31">
        <f t="shared" si="6"/>
        <v>4291.666666666667</v>
      </c>
      <c r="D34" s="31">
        <f t="shared" si="4"/>
        <v>4031.9621886778045</v>
      </c>
      <c r="E34" s="31">
        <f t="shared" si="1"/>
        <v>4047.7084241136108</v>
      </c>
      <c r="F34" s="31">
        <f t="shared" si="2"/>
        <v>89049.585330499627</v>
      </c>
      <c r="G34" s="31">
        <f t="shared" si="5"/>
        <v>233.09584106714451</v>
      </c>
      <c r="H34" s="32">
        <f t="shared" si="3"/>
        <v>93471.432267924945</v>
      </c>
      <c r="I34" s="31"/>
      <c r="J34" s="28">
        <v>1</v>
      </c>
      <c r="K34" s="33">
        <v>44409</v>
      </c>
      <c r="L34" s="31">
        <f t="shared" ref="L34:L44" si="7">+C34*1.05</f>
        <v>4506.2500000000009</v>
      </c>
      <c r="M34" s="31">
        <f t="shared" ref="M34:M55" si="8">+L34/(1+F$1)^J34</f>
        <v>4495.0124688279311</v>
      </c>
      <c r="N34" s="31">
        <f t="shared" ref="N34:N56" si="9">+O$32/24</f>
        <v>4259.3302007695884</v>
      </c>
      <c r="O34" s="31">
        <f t="shared" ref="O34:O56" si="10">+O33-N34</f>
        <v>93705.26441693095</v>
      </c>
      <c r="P34" s="31">
        <f>+(Q33-L34)*F$1</f>
        <v>244.75063312050116</v>
      </c>
      <c r="Q34" s="32">
        <f t="shared" ref="Q34:Q56" si="11">+Q33-L34+P34</f>
        <v>98145.003881320969</v>
      </c>
      <c r="R34" s="31"/>
      <c r="S34" s="115" t="s">
        <v>116</v>
      </c>
      <c r="T34" s="116" t="s">
        <v>107</v>
      </c>
      <c r="U34" s="116" t="s">
        <v>0</v>
      </c>
      <c r="V34" s="40">
        <v>2241002</v>
      </c>
      <c r="W34" s="40"/>
      <c r="X34" s="40"/>
      <c r="Y34" s="40" t="s">
        <v>251</v>
      </c>
      <c r="Z34" s="70">
        <f>SUM(N33:N44)</f>
        <v>51111.962409235064</v>
      </c>
    </row>
    <row r="35" spans="1:26" x14ac:dyDescent="0.25">
      <c r="A35" s="28">
        <v>26</v>
      </c>
      <c r="B35" s="33">
        <v>44440</v>
      </c>
      <c r="C35" s="31">
        <f t="shared" si="6"/>
        <v>4291.666666666667</v>
      </c>
      <c r="D35" s="31">
        <f t="shared" si="4"/>
        <v>4021.9074201274861</v>
      </c>
      <c r="E35" s="31">
        <f t="shared" si="1"/>
        <v>4047.7084241136108</v>
      </c>
      <c r="F35" s="31">
        <f t="shared" si="2"/>
        <v>85001.876906386024</v>
      </c>
      <c r="G35" s="31">
        <f t="shared" si="5"/>
        <v>222.94941400314568</v>
      </c>
      <c r="H35" s="32">
        <f t="shared" si="3"/>
        <v>89402.715015261419</v>
      </c>
      <c r="I35" s="31"/>
      <c r="J35" s="28">
        <v>2</v>
      </c>
      <c r="K35" s="33">
        <v>44440</v>
      </c>
      <c r="L35" s="31">
        <f t="shared" si="7"/>
        <v>4506.2500000000009</v>
      </c>
      <c r="M35" s="31">
        <f t="shared" si="8"/>
        <v>4483.8029614243706</v>
      </c>
      <c r="N35" s="31">
        <f t="shared" si="9"/>
        <v>4259.3302007695884</v>
      </c>
      <c r="O35" s="31">
        <f t="shared" si="10"/>
        <v>89445.93421616136</v>
      </c>
      <c r="P35" s="31">
        <f t="shared" ref="P35:P52" si="12">+(Q34-L35)*F$1</f>
        <v>234.09688470330244</v>
      </c>
      <c r="Q35" s="32">
        <f t="shared" si="11"/>
        <v>93872.850766024276</v>
      </c>
      <c r="R35" s="31"/>
      <c r="S35" s="115"/>
      <c r="T35" s="116"/>
      <c r="U35" s="116" t="s">
        <v>1</v>
      </c>
      <c r="V35" s="40">
        <v>5311002</v>
      </c>
      <c r="W35" s="40">
        <v>7353</v>
      </c>
      <c r="X35" s="40"/>
      <c r="Y35" s="40" t="s">
        <v>105</v>
      </c>
      <c r="Z35" s="70">
        <f>Z34</f>
        <v>51111.962409235064</v>
      </c>
    </row>
    <row r="36" spans="1:26" x14ac:dyDescent="0.25">
      <c r="A36" s="28">
        <v>27</v>
      </c>
      <c r="B36" s="33">
        <v>44470</v>
      </c>
      <c r="C36" s="31">
        <f t="shared" si="6"/>
        <v>4291.666666666667</v>
      </c>
      <c r="D36" s="31">
        <f t="shared" si="4"/>
        <v>4011.8777258129539</v>
      </c>
      <c r="E36" s="31">
        <f t="shared" si="1"/>
        <v>4047.7084241136108</v>
      </c>
      <c r="F36" s="31">
        <f t="shared" si="2"/>
        <v>80954.16848227242</v>
      </c>
      <c r="G36" s="31">
        <f t="shared" si="5"/>
        <v>212.77762087148687</v>
      </c>
      <c r="H36" s="32">
        <f t="shared" si="3"/>
        <v>85323.825969466241</v>
      </c>
      <c r="I36" s="31"/>
      <c r="J36" s="28">
        <v>3</v>
      </c>
      <c r="K36" s="33">
        <v>44470</v>
      </c>
      <c r="L36" s="31">
        <f t="shared" si="7"/>
        <v>4506.2500000000009</v>
      </c>
      <c r="M36" s="31">
        <f t="shared" si="8"/>
        <v>4472.6214079046094</v>
      </c>
      <c r="N36" s="31">
        <f t="shared" si="9"/>
        <v>4259.3302007695884</v>
      </c>
      <c r="O36" s="31">
        <f t="shared" si="10"/>
        <v>85186.604015391771</v>
      </c>
      <c r="P36" s="31">
        <f t="shared" si="12"/>
        <v>223.41650191506071</v>
      </c>
      <c r="Q36" s="32">
        <f t="shared" si="11"/>
        <v>89590.017267939344</v>
      </c>
      <c r="R36" s="31"/>
      <c r="S36" s="115" t="s">
        <v>193</v>
      </c>
      <c r="T36" s="116"/>
      <c r="U36" s="116"/>
      <c r="V36" s="40"/>
      <c r="W36" s="40"/>
      <c r="X36" s="40"/>
      <c r="Y36" s="40"/>
      <c r="Z36" s="70"/>
    </row>
    <row r="37" spans="1:26" x14ac:dyDescent="0.25">
      <c r="A37" s="28">
        <v>28</v>
      </c>
      <c r="B37" s="33">
        <v>44501</v>
      </c>
      <c r="C37" s="31">
        <f t="shared" si="6"/>
        <v>4291.666666666667</v>
      </c>
      <c r="D37" s="31">
        <f t="shared" si="4"/>
        <v>4001.873043204942</v>
      </c>
      <c r="E37" s="31">
        <f t="shared" si="1"/>
        <v>4047.7084241136108</v>
      </c>
      <c r="F37" s="31">
        <f t="shared" si="2"/>
        <v>76906.460058158817</v>
      </c>
      <c r="G37" s="31">
        <f t="shared" si="5"/>
        <v>202.58039825699893</v>
      </c>
      <c r="H37" s="32">
        <f t="shared" si="3"/>
        <v>81234.739701056562</v>
      </c>
      <c r="I37" s="31"/>
      <c r="J37" s="28">
        <v>4</v>
      </c>
      <c r="K37" s="33">
        <v>44501</v>
      </c>
      <c r="L37" s="31">
        <f t="shared" si="7"/>
        <v>4506.2500000000009</v>
      </c>
      <c r="M37" s="31">
        <f t="shared" si="8"/>
        <v>4461.4677385582136</v>
      </c>
      <c r="N37" s="31">
        <f t="shared" si="9"/>
        <v>4259.3302007695884</v>
      </c>
      <c r="O37" s="31">
        <f t="shared" si="10"/>
        <v>80927.273814622182</v>
      </c>
      <c r="P37" s="31">
        <f t="shared" si="12"/>
        <v>212.70941816984836</v>
      </c>
      <c r="Q37" s="32">
        <f t="shared" si="11"/>
        <v>85296.476686109192</v>
      </c>
      <c r="R37" s="31"/>
      <c r="S37" s="115"/>
      <c r="T37" s="116"/>
      <c r="U37" s="116"/>
      <c r="V37" s="40"/>
      <c r="W37" s="40"/>
      <c r="X37" s="40"/>
      <c r="Y37" s="40"/>
      <c r="Z37" s="70"/>
    </row>
    <row r="38" spans="1:26" x14ac:dyDescent="0.25">
      <c r="A38" s="28">
        <v>29</v>
      </c>
      <c r="B38" s="33">
        <v>44531</v>
      </c>
      <c r="C38" s="31">
        <f t="shared" si="6"/>
        <v>4291.666666666667</v>
      </c>
      <c r="D38" s="31">
        <f t="shared" si="4"/>
        <v>3991.8933099301157</v>
      </c>
      <c r="E38" s="31">
        <f t="shared" si="1"/>
        <v>4047.7084241136108</v>
      </c>
      <c r="F38" s="31">
        <f t="shared" si="2"/>
        <v>72858.751634045213</v>
      </c>
      <c r="G38" s="31">
        <f t="shared" si="5"/>
        <v>192.35768258597474</v>
      </c>
      <c r="H38" s="32">
        <f t="shared" si="3"/>
        <v>77135.430716975869</v>
      </c>
      <c r="I38" s="31"/>
      <c r="J38" s="28">
        <v>5</v>
      </c>
      <c r="K38" s="33">
        <v>44531</v>
      </c>
      <c r="L38" s="31">
        <f t="shared" si="7"/>
        <v>4506.2500000000009</v>
      </c>
      <c r="M38" s="31">
        <f t="shared" si="8"/>
        <v>4450.3418838485923</v>
      </c>
      <c r="N38" s="31">
        <f t="shared" si="9"/>
        <v>4259.3302007695884</v>
      </c>
      <c r="O38" s="31">
        <f t="shared" si="10"/>
        <v>76667.943613852593</v>
      </c>
      <c r="P38" s="31">
        <f t="shared" si="12"/>
        <v>201.97556671527298</v>
      </c>
      <c r="Q38" s="32">
        <f t="shared" si="11"/>
        <v>80992.202252824471</v>
      </c>
      <c r="R38" s="31"/>
      <c r="S38" s="115" t="s">
        <v>118</v>
      </c>
      <c r="T38" s="116" t="s">
        <v>107</v>
      </c>
      <c r="U38" s="116" t="s">
        <v>0</v>
      </c>
      <c r="V38" s="40">
        <v>3240106</v>
      </c>
      <c r="W38" s="40"/>
      <c r="X38" s="40"/>
      <c r="Y38" s="40" t="s">
        <v>271</v>
      </c>
      <c r="Z38" s="70">
        <f>Z40-Z39</f>
        <v>51717.738106711455</v>
      </c>
    </row>
    <row r="39" spans="1:26" x14ac:dyDescent="0.25">
      <c r="A39" s="28">
        <v>30</v>
      </c>
      <c r="B39" s="33">
        <v>44562</v>
      </c>
      <c r="C39" s="31">
        <f t="shared" si="6"/>
        <v>4291.666666666667</v>
      </c>
      <c r="D39" s="31">
        <f t="shared" si="4"/>
        <v>3981.9384637706903</v>
      </c>
      <c r="E39" s="31">
        <f t="shared" si="1"/>
        <v>4047.7084241136108</v>
      </c>
      <c r="F39" s="31">
        <f t="shared" si="2"/>
        <v>68811.043209931609</v>
      </c>
      <c r="G39" s="31">
        <f t="shared" si="5"/>
        <v>182.109410125773</v>
      </c>
      <c r="H39" s="32">
        <f t="shared" si="3"/>
        <v>73025.873460434974</v>
      </c>
      <c r="I39" s="31"/>
      <c r="J39" s="28">
        <v>6</v>
      </c>
      <c r="K39" s="33">
        <v>44562</v>
      </c>
      <c r="L39" s="31">
        <f t="shared" si="7"/>
        <v>4506.2500000000009</v>
      </c>
      <c r="M39" s="31">
        <f t="shared" si="8"/>
        <v>4439.2437744125618</v>
      </c>
      <c r="N39" s="31">
        <f t="shared" si="9"/>
        <v>4259.3302007695884</v>
      </c>
      <c r="O39" s="31">
        <f t="shared" si="10"/>
        <v>72408.613413083003</v>
      </c>
      <c r="P39" s="31">
        <f t="shared" si="12"/>
        <v>191.21488063206118</v>
      </c>
      <c r="Q39" s="32">
        <f t="shared" si="11"/>
        <v>76677.167133456533</v>
      </c>
      <c r="R39" s="31"/>
      <c r="S39" s="115"/>
      <c r="T39" s="116"/>
      <c r="U39" s="116" t="s">
        <v>0</v>
      </c>
      <c r="V39" s="40">
        <v>2422020</v>
      </c>
      <c r="W39" s="40"/>
      <c r="X39" s="40"/>
      <c r="Y39" s="40" t="s">
        <v>161</v>
      </c>
      <c r="Z39" s="70">
        <f>SUM(P33:P44)</f>
        <v>2357.2618932885548</v>
      </c>
    </row>
    <row r="40" spans="1:26" x14ac:dyDescent="0.25">
      <c r="A40" s="28">
        <v>31</v>
      </c>
      <c r="B40" s="33">
        <v>44593</v>
      </c>
      <c r="C40" s="31">
        <f t="shared" si="6"/>
        <v>4291.666666666667</v>
      </c>
      <c r="D40" s="31">
        <f t="shared" si="4"/>
        <v>3972.0084426640306</v>
      </c>
      <c r="E40" s="31">
        <f t="shared" si="1"/>
        <v>4047.7084241136108</v>
      </c>
      <c r="F40" s="31">
        <f t="shared" si="2"/>
        <v>64763.334785817999</v>
      </c>
      <c r="G40" s="31">
        <f t="shared" si="5"/>
        <v>171.83551698442076</v>
      </c>
      <c r="H40" s="32">
        <f t="shared" si="3"/>
        <v>68906.042310752717</v>
      </c>
      <c r="I40" s="31"/>
      <c r="J40" s="28">
        <v>7</v>
      </c>
      <c r="K40" s="33">
        <v>44593</v>
      </c>
      <c r="L40" s="31">
        <f t="shared" si="7"/>
        <v>4506.2500000000009</v>
      </c>
      <c r="M40" s="31">
        <f t="shared" si="8"/>
        <v>4428.1733410599127</v>
      </c>
      <c r="N40" s="31">
        <f t="shared" si="9"/>
        <v>4259.3302007695884</v>
      </c>
      <c r="O40" s="31">
        <f t="shared" si="10"/>
        <v>68149.283212313414</v>
      </c>
      <c r="P40" s="31">
        <f t="shared" si="12"/>
        <v>180.42729283364133</v>
      </c>
      <c r="Q40" s="32">
        <f t="shared" si="11"/>
        <v>72351.344426290176</v>
      </c>
      <c r="R40" s="31"/>
      <c r="S40" s="115"/>
      <c r="T40" s="116"/>
      <c r="U40" s="116" t="s">
        <v>1</v>
      </c>
      <c r="V40" s="40"/>
      <c r="W40" s="40"/>
      <c r="X40" s="40"/>
      <c r="Y40" s="40" t="s">
        <v>31</v>
      </c>
      <c r="Z40" s="70">
        <f>SUM(L33:L44)</f>
        <v>54075.000000000007</v>
      </c>
    </row>
    <row r="41" spans="1:26" ht="15.75" thickBot="1" x14ac:dyDescent="0.3">
      <c r="A41" s="28">
        <v>32</v>
      </c>
      <c r="B41" s="33">
        <v>44621</v>
      </c>
      <c r="C41" s="31">
        <f t="shared" si="6"/>
        <v>4291.666666666667</v>
      </c>
      <c r="D41" s="31">
        <f t="shared" si="4"/>
        <v>3962.1031847022746</v>
      </c>
      <c r="E41" s="31">
        <f t="shared" si="1"/>
        <v>4047.7084241136108</v>
      </c>
      <c r="F41" s="31">
        <f t="shared" si="2"/>
        <v>60715.626361704388</v>
      </c>
      <c r="G41" s="31">
        <f t="shared" si="5"/>
        <v>161.53593911021514</v>
      </c>
      <c r="H41" s="32">
        <f t="shared" si="3"/>
        <v>64775.91158319627</v>
      </c>
      <c r="I41" s="31"/>
      <c r="J41" s="28">
        <v>8</v>
      </c>
      <c r="K41" s="33">
        <v>44621</v>
      </c>
      <c r="L41" s="31">
        <f t="shared" si="7"/>
        <v>4506.2500000000009</v>
      </c>
      <c r="M41" s="31">
        <f t="shared" si="8"/>
        <v>4417.13051477298</v>
      </c>
      <c r="N41" s="31">
        <f t="shared" si="9"/>
        <v>4259.3302007695884</v>
      </c>
      <c r="O41" s="31">
        <f t="shared" si="10"/>
        <v>63889.953011543825</v>
      </c>
      <c r="P41" s="31">
        <f t="shared" si="12"/>
        <v>169.61273606572544</v>
      </c>
      <c r="Q41" s="32">
        <f t="shared" si="11"/>
        <v>68014.707162355902</v>
      </c>
      <c r="R41" s="31"/>
      <c r="S41" s="115" t="s">
        <v>121</v>
      </c>
      <c r="T41" s="116"/>
      <c r="U41" s="116"/>
      <c r="V41" s="40"/>
      <c r="W41" s="40"/>
      <c r="X41" s="40"/>
      <c r="Y41" s="40"/>
      <c r="Z41" s="70"/>
    </row>
    <row r="42" spans="1:26" x14ac:dyDescent="0.25">
      <c r="A42" s="28">
        <v>33</v>
      </c>
      <c r="B42" s="33">
        <v>44652</v>
      </c>
      <c r="C42" s="31">
        <f t="shared" si="6"/>
        <v>4291.666666666667</v>
      </c>
      <c r="D42" s="31">
        <f t="shared" si="4"/>
        <v>3952.2226281319445</v>
      </c>
      <c r="E42" s="31">
        <f t="shared" si="1"/>
        <v>4047.7084241136108</v>
      </c>
      <c r="F42" s="31">
        <f t="shared" si="2"/>
        <v>56667.917937590777</v>
      </c>
      <c r="G42" s="31">
        <f t="shared" si="5"/>
        <v>151.21061229132403</v>
      </c>
      <c r="H42" s="32">
        <f t="shared" si="3"/>
        <v>60635.45552882093</v>
      </c>
      <c r="I42" s="31"/>
      <c r="J42" s="28">
        <v>9</v>
      </c>
      <c r="K42" s="33">
        <v>44652</v>
      </c>
      <c r="L42" s="31">
        <f t="shared" si="7"/>
        <v>4506.2500000000009</v>
      </c>
      <c r="M42" s="31">
        <f t="shared" si="8"/>
        <v>4406.1152267062143</v>
      </c>
      <c r="N42" s="31">
        <f t="shared" si="9"/>
        <v>4259.3302007695884</v>
      </c>
      <c r="O42" s="31">
        <f t="shared" si="10"/>
        <v>59630.622810774235</v>
      </c>
      <c r="P42" s="31">
        <f t="shared" si="12"/>
        <v>158.77114290588975</v>
      </c>
      <c r="Q42" s="32">
        <f t="shared" si="11"/>
        <v>63667.228305261793</v>
      </c>
      <c r="R42" s="31"/>
      <c r="S42" s="124"/>
      <c r="T42" s="126"/>
      <c r="U42" s="126"/>
      <c r="V42" s="51"/>
      <c r="W42" s="51"/>
      <c r="X42" s="51"/>
      <c r="Y42" s="51"/>
      <c r="Z42" s="69"/>
    </row>
    <row r="43" spans="1:26" x14ac:dyDescent="0.25">
      <c r="A43" s="28">
        <v>34</v>
      </c>
      <c r="B43" s="33">
        <v>44682</v>
      </c>
      <c r="C43" s="31">
        <f t="shared" si="6"/>
        <v>4291.666666666667</v>
      </c>
      <c r="D43" s="31">
        <f t="shared" si="4"/>
        <v>3942.3667113535612</v>
      </c>
      <c r="E43" s="31">
        <f t="shared" si="1"/>
        <v>4047.7084241136108</v>
      </c>
      <c r="F43" s="31">
        <f t="shared" si="2"/>
        <v>52620.209513477166</v>
      </c>
      <c r="G43" s="31">
        <f t="shared" si="5"/>
        <v>140.85947215538567</v>
      </c>
      <c r="H43" s="32">
        <f t="shared" si="3"/>
        <v>56484.648334309655</v>
      </c>
      <c r="I43" s="31"/>
      <c r="J43" s="28">
        <v>10</v>
      </c>
      <c r="K43" s="33">
        <v>44682</v>
      </c>
      <c r="L43" s="31">
        <f t="shared" si="7"/>
        <v>4506.2500000000009</v>
      </c>
      <c r="M43" s="31">
        <f t="shared" si="8"/>
        <v>4395.12740818575</v>
      </c>
      <c r="N43" s="31">
        <f t="shared" si="9"/>
        <v>4259.3302007695884</v>
      </c>
      <c r="O43" s="31">
        <f t="shared" si="10"/>
        <v>55371.292610004646</v>
      </c>
      <c r="P43" s="31">
        <f t="shared" si="12"/>
        <v>147.90244576315447</v>
      </c>
      <c r="Q43" s="32">
        <f t="shared" si="11"/>
        <v>59308.880751024946</v>
      </c>
      <c r="R43" s="31"/>
      <c r="S43" s="115" t="s">
        <v>120</v>
      </c>
      <c r="T43" s="116" t="s">
        <v>108</v>
      </c>
      <c r="U43" s="116" t="s">
        <v>0</v>
      </c>
      <c r="V43" s="40">
        <v>2241002</v>
      </c>
      <c r="W43" s="40"/>
      <c r="X43" s="40"/>
      <c r="Y43" s="40" t="s">
        <v>251</v>
      </c>
      <c r="Z43" s="70">
        <f>SUM(N45:N56)</f>
        <v>51111.962409235064</v>
      </c>
    </row>
    <row r="44" spans="1:26" s="221" customFormat="1" x14ac:dyDescent="0.25">
      <c r="A44" s="217">
        <v>35</v>
      </c>
      <c r="B44" s="218">
        <v>44713</v>
      </c>
      <c r="C44" s="219">
        <f t="shared" si="6"/>
        <v>4291.666666666667</v>
      </c>
      <c r="D44" s="219">
        <f>+C44/(1+F$1)^A44</f>
        <v>3932.5353729212584</v>
      </c>
      <c r="E44" s="219">
        <f t="shared" si="1"/>
        <v>4047.7084241136108</v>
      </c>
      <c r="F44" s="219">
        <f t="shared" si="2"/>
        <v>48572.501089363555</v>
      </c>
      <c r="G44" s="219">
        <f t="shared" si="5"/>
        <v>130.48245416910748</v>
      </c>
      <c r="H44" s="229">
        <f t="shared" si="3"/>
        <v>52323.464121812096</v>
      </c>
      <c r="I44" s="219"/>
      <c r="J44" s="217">
        <v>11</v>
      </c>
      <c r="K44" s="218">
        <v>44713</v>
      </c>
      <c r="L44" s="219">
        <f t="shared" si="7"/>
        <v>4506.2500000000009</v>
      </c>
      <c r="M44" s="219">
        <f>+L44/(1+F$1)^J44</f>
        <v>4384.166990708979</v>
      </c>
      <c r="N44" s="219">
        <f t="shared" si="9"/>
        <v>4259.3302007695884</v>
      </c>
      <c r="O44" s="219">
        <f t="shared" si="10"/>
        <v>51111.962409235057</v>
      </c>
      <c r="P44" s="219">
        <f t="shared" si="12"/>
        <v>137.00657687756237</v>
      </c>
      <c r="Q44" s="229">
        <f t="shared" si="11"/>
        <v>54939.637327902507</v>
      </c>
      <c r="R44" s="219"/>
      <c r="S44" s="115"/>
      <c r="T44" s="116"/>
      <c r="U44" s="116" t="s">
        <v>1</v>
      </c>
      <c r="V44" s="116">
        <v>5311002</v>
      </c>
      <c r="W44" s="116">
        <v>7353</v>
      </c>
      <c r="X44" s="116"/>
      <c r="Y44" s="116" t="s">
        <v>105</v>
      </c>
      <c r="Z44" s="159">
        <f>Z43</f>
        <v>51111.962409235064</v>
      </c>
    </row>
    <row r="45" spans="1:26" x14ac:dyDescent="0.25">
      <c r="A45" s="28">
        <v>36</v>
      </c>
      <c r="B45" s="33">
        <v>44743</v>
      </c>
      <c r="C45" s="31">
        <f>((50000*1.03*1.03)/12)</f>
        <v>4420.416666666667</v>
      </c>
      <c r="D45" s="31">
        <f>+C45/(1+F$1)^A45</f>
        <v>4040.4104080886741</v>
      </c>
      <c r="E45" s="31">
        <f t="shared" si="1"/>
        <v>4047.7084241136108</v>
      </c>
      <c r="F45" s="31">
        <f t="shared" si="2"/>
        <v>44524.792665249945</v>
      </c>
      <c r="G45" s="31">
        <f t="shared" si="5"/>
        <v>119.75761863786359</v>
      </c>
      <c r="H45" s="32">
        <f t="shared" si="3"/>
        <v>48022.805073783296</v>
      </c>
      <c r="I45" s="31"/>
      <c r="J45" s="28">
        <v>12</v>
      </c>
      <c r="K45" s="33">
        <v>44743</v>
      </c>
      <c r="L45" s="31">
        <f>+L$44*1.03</f>
        <v>4641.4375000000009</v>
      </c>
      <c r="M45" s="31">
        <f t="shared" si="8"/>
        <v>4504.4309231224415</v>
      </c>
      <c r="N45" s="31">
        <f t="shared" si="9"/>
        <v>4259.3302007695884</v>
      </c>
      <c r="O45" s="31">
        <f t="shared" si="10"/>
        <v>46852.632208465468</v>
      </c>
      <c r="P45" s="31">
        <f t="shared" si="12"/>
        <v>125.74549956975626</v>
      </c>
      <c r="Q45" s="32">
        <f t="shared" si="11"/>
        <v>50423.945327472262</v>
      </c>
      <c r="R45" s="31"/>
      <c r="S45" s="115" t="s">
        <v>190</v>
      </c>
      <c r="T45" s="116"/>
      <c r="U45" s="116"/>
      <c r="V45" s="40"/>
      <c r="W45" s="40"/>
      <c r="X45" s="40"/>
      <c r="Y45" s="40"/>
      <c r="Z45" s="70"/>
    </row>
    <row r="46" spans="1:26" x14ac:dyDescent="0.25">
      <c r="A46" s="28">
        <v>37</v>
      </c>
      <c r="B46" s="33">
        <v>44774</v>
      </c>
      <c r="C46" s="31">
        <f t="shared" ref="C46:C56" si="13">((50000*1.03*1.03)/12)</f>
        <v>4420.416666666667</v>
      </c>
      <c r="D46" s="31">
        <f t="shared" si="4"/>
        <v>4030.3345716595254</v>
      </c>
      <c r="E46" s="31">
        <f t="shared" si="1"/>
        <v>4047.7084241136108</v>
      </c>
      <c r="F46" s="31">
        <f t="shared" si="2"/>
        <v>40477.084241136334</v>
      </c>
      <c r="G46" s="31">
        <f t="shared" si="5"/>
        <v>109.00597101779158</v>
      </c>
      <c r="H46" s="32">
        <f t="shared" si="3"/>
        <v>43711.394378134421</v>
      </c>
      <c r="I46" s="31"/>
      <c r="J46" s="28">
        <v>13</v>
      </c>
      <c r="K46" s="33">
        <v>44774</v>
      </c>
      <c r="L46" s="31">
        <f t="shared" ref="L46:L56" si="14">+L$44*1.03</f>
        <v>4641.4375000000009</v>
      </c>
      <c r="M46" s="31">
        <f t="shared" si="8"/>
        <v>4493.1979283016872</v>
      </c>
      <c r="N46" s="31">
        <f t="shared" si="9"/>
        <v>4259.3302007695884</v>
      </c>
      <c r="O46" s="31">
        <f t="shared" si="10"/>
        <v>42593.302007695878</v>
      </c>
      <c r="P46" s="31">
        <f t="shared" si="12"/>
        <v>114.45626956868065</v>
      </c>
      <c r="Q46" s="32">
        <f t="shared" si="11"/>
        <v>45896.964097040945</v>
      </c>
      <c r="R46" s="31"/>
      <c r="S46" s="115"/>
      <c r="T46" s="116"/>
      <c r="U46" s="116"/>
      <c r="V46" s="40"/>
      <c r="W46" s="40"/>
      <c r="X46" s="40"/>
      <c r="Y46" s="40"/>
      <c r="Z46" s="70"/>
    </row>
    <row r="47" spans="1:26" x14ac:dyDescent="0.25">
      <c r="A47" s="28">
        <v>38</v>
      </c>
      <c r="B47" s="33">
        <v>44805</v>
      </c>
      <c r="C47" s="31">
        <f t="shared" si="13"/>
        <v>4420.416666666667</v>
      </c>
      <c r="D47" s="31">
        <f t="shared" si="4"/>
        <v>4020.283862004515</v>
      </c>
      <c r="E47" s="31">
        <f t="shared" si="1"/>
        <v>4047.7084241136108</v>
      </c>
      <c r="F47" s="31">
        <f t="shared" si="2"/>
        <v>36429.375817022723</v>
      </c>
      <c r="G47" s="31">
        <f t="shared" si="5"/>
        <v>98.227444278669395</v>
      </c>
      <c r="H47" s="32">
        <f t="shared" si="3"/>
        <v>39389.205155746429</v>
      </c>
      <c r="I47" s="31"/>
      <c r="J47" s="28">
        <v>14</v>
      </c>
      <c r="K47" s="33">
        <v>44805</v>
      </c>
      <c r="L47" s="31">
        <f t="shared" si="14"/>
        <v>4641.4375000000009</v>
      </c>
      <c r="M47" s="31">
        <f t="shared" si="8"/>
        <v>4481.9929459368459</v>
      </c>
      <c r="N47" s="31">
        <f t="shared" si="9"/>
        <v>4259.3302007695884</v>
      </c>
      <c r="O47" s="31">
        <f t="shared" si="10"/>
        <v>38333.971806926289</v>
      </c>
      <c r="P47" s="31">
        <f t="shared" si="12"/>
        <v>103.13881649260236</v>
      </c>
      <c r="Q47" s="32">
        <f t="shared" si="11"/>
        <v>41358.665413533548</v>
      </c>
      <c r="R47" s="31"/>
      <c r="S47" s="115" t="s">
        <v>122</v>
      </c>
      <c r="T47" s="116" t="s">
        <v>108</v>
      </c>
      <c r="U47" s="116" t="s">
        <v>0</v>
      </c>
      <c r="V47" s="40">
        <v>3240106</v>
      </c>
      <c r="W47" s="40"/>
      <c r="X47" s="40"/>
      <c r="Y47" s="40" t="s">
        <v>271</v>
      </c>
      <c r="Z47" s="70">
        <f>Z49-Z48</f>
        <v>54939.637327902397</v>
      </c>
    </row>
    <row r="48" spans="1:26" x14ac:dyDescent="0.25">
      <c r="A48" s="28">
        <v>39</v>
      </c>
      <c r="B48" s="33">
        <v>44835</v>
      </c>
      <c r="C48" s="31">
        <f t="shared" si="13"/>
        <v>4420.416666666667</v>
      </c>
      <c r="D48" s="31">
        <f t="shared" si="4"/>
        <v>4010.2582164633563</v>
      </c>
      <c r="E48" s="31">
        <f t="shared" si="1"/>
        <v>4047.7084241136108</v>
      </c>
      <c r="F48" s="31">
        <f t="shared" si="2"/>
        <v>32381.667392909112</v>
      </c>
      <c r="G48" s="31">
        <f t="shared" si="5"/>
        <v>87.421971222699412</v>
      </c>
      <c r="H48" s="32">
        <f t="shared" si="3"/>
        <v>35056.210460302464</v>
      </c>
      <c r="I48" s="31"/>
      <c r="J48" s="28">
        <v>15</v>
      </c>
      <c r="K48" s="33">
        <v>44835</v>
      </c>
      <c r="L48" s="31">
        <f t="shared" si="14"/>
        <v>4641.4375000000009</v>
      </c>
      <c r="M48" s="31">
        <f t="shared" si="8"/>
        <v>4470.8159061714177</v>
      </c>
      <c r="N48" s="31">
        <f t="shared" si="9"/>
        <v>4259.3302007695884</v>
      </c>
      <c r="O48" s="31">
        <f t="shared" si="10"/>
        <v>34074.6416061567</v>
      </c>
      <c r="P48" s="31">
        <f t="shared" si="12"/>
        <v>91.793069783833872</v>
      </c>
      <c r="Q48" s="32">
        <f t="shared" si="11"/>
        <v>36809.020983317379</v>
      </c>
      <c r="R48" s="31"/>
      <c r="S48" s="115"/>
      <c r="T48" s="116"/>
      <c r="U48" s="116" t="s">
        <v>0</v>
      </c>
      <c r="V48" s="40">
        <v>2422020</v>
      </c>
      <c r="W48" s="40"/>
      <c r="X48" s="40"/>
      <c r="Y48" s="40" t="s">
        <v>161</v>
      </c>
      <c r="Z48" s="70">
        <f>SUM(P45:P56)</f>
        <v>757.61267209761104</v>
      </c>
    </row>
    <row r="49" spans="1:26" x14ac:dyDescent="0.25">
      <c r="A49" s="28">
        <v>40</v>
      </c>
      <c r="B49" s="33">
        <v>44866</v>
      </c>
      <c r="C49" s="31">
        <f t="shared" si="13"/>
        <v>4420.416666666667</v>
      </c>
      <c r="D49" s="31">
        <f t="shared" si="4"/>
        <v>4000.2575725320262</v>
      </c>
      <c r="E49" s="31">
        <f t="shared" si="1"/>
        <v>4047.7084241136108</v>
      </c>
      <c r="F49" s="31">
        <f t="shared" si="2"/>
        <v>28333.958968795501</v>
      </c>
      <c r="G49" s="31">
        <f t="shared" si="5"/>
        <v>76.589484484089496</v>
      </c>
      <c r="H49" s="32">
        <f t="shared" si="3"/>
        <v>30712.383278119883</v>
      </c>
      <c r="I49" s="31"/>
      <c r="J49" s="28">
        <v>16</v>
      </c>
      <c r="K49" s="33">
        <v>44866</v>
      </c>
      <c r="L49" s="31">
        <f t="shared" si="14"/>
        <v>4641.4375000000009</v>
      </c>
      <c r="M49" s="31">
        <f t="shared" si="8"/>
        <v>4459.6667393231091</v>
      </c>
      <c r="N49" s="31">
        <f t="shared" si="9"/>
        <v>4259.3302007695884</v>
      </c>
      <c r="O49" s="31">
        <f t="shared" si="10"/>
        <v>29815.31140538711</v>
      </c>
      <c r="P49" s="31">
        <f t="shared" si="12"/>
        <v>80.418958708293445</v>
      </c>
      <c r="Q49" s="32">
        <f t="shared" si="11"/>
        <v>32248.002442025674</v>
      </c>
      <c r="R49" s="31"/>
      <c r="S49" s="115"/>
      <c r="T49" s="116"/>
      <c r="U49" s="116" t="s">
        <v>1</v>
      </c>
      <c r="V49" s="40"/>
      <c r="W49" s="40"/>
      <c r="X49" s="40"/>
      <c r="Y49" s="40" t="s">
        <v>31</v>
      </c>
      <c r="Z49" s="70">
        <f>SUM(L45:L56)</f>
        <v>55697.250000000007</v>
      </c>
    </row>
    <row r="50" spans="1:26" ht="15.75" thickBot="1" x14ac:dyDescent="0.3">
      <c r="A50" s="28">
        <v>41</v>
      </c>
      <c r="B50" s="33">
        <v>44896</v>
      </c>
      <c r="C50" s="31">
        <f t="shared" si="13"/>
        <v>4420.416666666667</v>
      </c>
      <c r="D50" s="31">
        <f t="shared" si="4"/>
        <v>3990.2818678623707</v>
      </c>
      <c r="E50" s="31">
        <f t="shared" si="1"/>
        <v>4047.7084241136108</v>
      </c>
      <c r="F50" s="31">
        <f t="shared" si="2"/>
        <v>24286.25054468189</v>
      </c>
      <c r="G50" s="31">
        <f t="shared" si="5"/>
        <v>65.729916528633041</v>
      </c>
      <c r="H50" s="32">
        <f t="shared" si="3"/>
        <v>26357.696527981847</v>
      </c>
      <c r="I50" s="31"/>
      <c r="J50" s="28">
        <v>17</v>
      </c>
      <c r="K50" s="33">
        <v>44896</v>
      </c>
      <c r="L50" s="31">
        <f t="shared" si="14"/>
        <v>4641.4375000000009</v>
      </c>
      <c r="M50" s="31">
        <f t="shared" si="8"/>
        <v>4448.5453758834019</v>
      </c>
      <c r="N50" s="31">
        <f t="shared" si="9"/>
        <v>4259.3302007695884</v>
      </c>
      <c r="O50" s="31">
        <f t="shared" si="10"/>
        <v>25555.981204617521</v>
      </c>
      <c r="P50" s="31">
        <f t="shared" si="12"/>
        <v>69.01641235506419</v>
      </c>
      <c r="Q50" s="32">
        <f t="shared" si="11"/>
        <v>27675.581354380738</v>
      </c>
      <c r="R50" s="31"/>
      <c r="S50" s="136" t="s">
        <v>123</v>
      </c>
      <c r="T50" s="137"/>
      <c r="U50" s="137"/>
      <c r="V50" s="47"/>
      <c r="W50" s="47"/>
      <c r="X50" s="47"/>
      <c r="Y50" s="47"/>
      <c r="Z50" s="73"/>
    </row>
    <row r="51" spans="1:26" x14ac:dyDescent="0.25">
      <c r="A51" s="28">
        <v>42</v>
      </c>
      <c r="B51" s="33">
        <v>44927</v>
      </c>
      <c r="C51" s="31">
        <f t="shared" si="13"/>
        <v>4420.416666666667</v>
      </c>
      <c r="D51" s="31">
        <f t="shared" si="4"/>
        <v>3980.3310402617167</v>
      </c>
      <c r="E51" s="31">
        <f t="shared" si="1"/>
        <v>4047.7084241136108</v>
      </c>
      <c r="F51" s="31">
        <f t="shared" si="2"/>
        <v>20238.54212056828</v>
      </c>
      <c r="G51" s="31">
        <f t="shared" si="5"/>
        <v>54.843199653287947</v>
      </c>
      <c r="H51" s="32">
        <f t="shared" si="3"/>
        <v>21992.123060968468</v>
      </c>
      <c r="I51" s="31"/>
      <c r="J51" s="28">
        <v>18</v>
      </c>
      <c r="K51" s="33">
        <v>44927</v>
      </c>
      <c r="L51" s="31">
        <f t="shared" si="14"/>
        <v>4641.4375000000009</v>
      </c>
      <c r="M51" s="31">
        <f t="shared" si="8"/>
        <v>4437.4517465171084</v>
      </c>
      <c r="N51" s="31">
        <f t="shared" si="9"/>
        <v>4259.3302007695884</v>
      </c>
      <c r="O51" s="31">
        <f t="shared" si="10"/>
        <v>21296.651003847932</v>
      </c>
      <c r="P51" s="31">
        <f t="shared" si="12"/>
        <v>57.585359635951846</v>
      </c>
      <c r="Q51" s="32">
        <f t="shared" si="11"/>
        <v>23091.72921401669</v>
      </c>
      <c r="R51" s="31"/>
      <c r="S51" s="115"/>
      <c r="T51" s="116"/>
      <c r="U51" s="116"/>
      <c r="V51" s="40"/>
      <c r="W51" s="40"/>
      <c r="X51" s="40"/>
      <c r="Y51" s="40"/>
      <c r="Z51" s="70"/>
    </row>
    <row r="52" spans="1:26" x14ac:dyDescent="0.25">
      <c r="A52" s="28">
        <v>43</v>
      </c>
      <c r="B52" s="33">
        <v>44958</v>
      </c>
      <c r="C52" s="31">
        <f t="shared" si="13"/>
        <v>4420.416666666667</v>
      </c>
      <c r="D52" s="31">
        <f t="shared" si="4"/>
        <v>3970.4050276924863</v>
      </c>
      <c r="E52" s="31">
        <f t="shared" si="1"/>
        <v>4047.7084241136108</v>
      </c>
      <c r="F52" s="31">
        <f t="shared" si="2"/>
        <v>16190.833696454669</v>
      </c>
      <c r="G52" s="31">
        <f t="shared" si="5"/>
        <v>43.929265985754505</v>
      </c>
      <c r="H52" s="32">
        <f t="shared" si="3"/>
        <v>17615.635660287553</v>
      </c>
      <c r="I52" s="31"/>
      <c r="J52" s="28">
        <v>19</v>
      </c>
      <c r="K52" s="33">
        <v>44958</v>
      </c>
      <c r="L52" s="31">
        <f t="shared" si="14"/>
        <v>4641.4375000000009</v>
      </c>
      <c r="M52" s="31">
        <f t="shared" si="8"/>
        <v>4426.3857820619542</v>
      </c>
      <c r="N52" s="31">
        <f t="shared" si="9"/>
        <v>4259.3302007695884</v>
      </c>
      <c r="O52" s="31">
        <f t="shared" si="10"/>
        <v>17037.320803078343</v>
      </c>
      <c r="P52" s="31">
        <f t="shared" si="12"/>
        <v>46.125729285041729</v>
      </c>
      <c r="Q52" s="32">
        <f t="shared" si="11"/>
        <v>18496.417443301732</v>
      </c>
      <c r="R52" s="31"/>
      <c r="S52" s="115"/>
      <c r="T52" s="116"/>
      <c r="U52" s="116"/>
      <c r="V52" s="40"/>
      <c r="W52" s="40"/>
      <c r="X52" s="40"/>
      <c r="Y52" s="40"/>
      <c r="Z52" s="70"/>
    </row>
    <row r="53" spans="1:26" x14ac:dyDescent="0.25">
      <c r="A53" s="28">
        <v>44</v>
      </c>
      <c r="B53" s="33">
        <v>44986</v>
      </c>
      <c r="C53" s="31">
        <f t="shared" si="13"/>
        <v>4420.416666666667</v>
      </c>
      <c r="D53" s="31">
        <f t="shared" si="4"/>
        <v>3960.5037682718062</v>
      </c>
      <c r="E53" s="31">
        <f t="shared" si="1"/>
        <v>4047.7084241136108</v>
      </c>
      <c r="F53" s="31">
        <f t="shared" si="2"/>
        <v>12143.125272341058</v>
      </c>
      <c r="G53" s="31">
        <f t="shared" si="5"/>
        <v>32.988047484052217</v>
      </c>
      <c r="H53" s="32">
        <f t="shared" si="3"/>
        <v>13228.207041104937</v>
      </c>
      <c r="I53" s="31"/>
      <c r="J53" s="28">
        <v>20</v>
      </c>
      <c r="K53" s="33">
        <v>44986</v>
      </c>
      <c r="L53" s="31">
        <f t="shared" si="14"/>
        <v>4641.4375000000009</v>
      </c>
      <c r="M53" s="31">
        <f t="shared" si="8"/>
        <v>4415.3474135281331</v>
      </c>
      <c r="N53" s="31">
        <f t="shared" si="9"/>
        <v>4259.3302007695884</v>
      </c>
      <c r="O53" s="31">
        <f t="shared" si="10"/>
        <v>12777.990602308753</v>
      </c>
      <c r="P53" s="31">
        <f>+(Q52-L53)*F$1</f>
        <v>34.637449858254335</v>
      </c>
      <c r="Q53" s="32">
        <f t="shared" si="11"/>
        <v>13889.617393159986</v>
      </c>
      <c r="R53" s="31"/>
      <c r="S53" s="115"/>
      <c r="T53" s="116"/>
      <c r="U53" s="116"/>
      <c r="V53" s="40"/>
      <c r="W53" s="40"/>
      <c r="X53" s="40"/>
      <c r="Y53" s="40"/>
      <c r="Z53" s="70"/>
    </row>
    <row r="54" spans="1:26" x14ac:dyDescent="0.25">
      <c r="A54" s="28">
        <v>45</v>
      </c>
      <c r="B54" s="33">
        <v>45017</v>
      </c>
      <c r="C54" s="31">
        <f t="shared" si="13"/>
        <v>4420.416666666667</v>
      </c>
      <c r="D54" s="31">
        <f t="shared" si="4"/>
        <v>3950.6272002711285</v>
      </c>
      <c r="E54" s="31">
        <f t="shared" si="1"/>
        <v>4047.7084241136108</v>
      </c>
      <c r="F54" s="31">
        <f t="shared" si="2"/>
        <v>8095.4168482274472</v>
      </c>
      <c r="G54" s="31">
        <f t="shared" si="5"/>
        <v>22.019475936095677</v>
      </c>
      <c r="H54" s="32">
        <f t="shared" si="3"/>
        <v>8829.8098503743677</v>
      </c>
      <c r="I54" s="31"/>
      <c r="J54" s="28">
        <v>21</v>
      </c>
      <c r="K54" s="33">
        <v>45017</v>
      </c>
      <c r="L54" s="31">
        <f t="shared" si="14"/>
        <v>4641.4375000000009</v>
      </c>
      <c r="M54" s="31">
        <f t="shared" si="8"/>
        <v>4404.3365720978891</v>
      </c>
      <c r="N54" s="31">
        <f t="shared" si="9"/>
        <v>4259.3302007695884</v>
      </c>
      <c r="O54" s="31">
        <f t="shared" si="10"/>
        <v>8518.660401539164</v>
      </c>
      <c r="P54" s="31">
        <f t="shared" ref="P54:P56" si="15">+(Q53-L54)*F$1</f>
        <v>23.12044973289996</v>
      </c>
      <c r="Q54" s="32">
        <f t="shared" si="11"/>
        <v>9271.3003428928841</v>
      </c>
      <c r="R54" s="31"/>
      <c r="S54" s="115"/>
      <c r="T54" s="116"/>
      <c r="U54" s="116"/>
      <c r="V54" s="40"/>
      <c r="W54" s="40"/>
      <c r="X54" s="40"/>
      <c r="Y54" s="40"/>
      <c r="Z54" s="70"/>
    </row>
    <row r="55" spans="1:26" x14ac:dyDescent="0.25">
      <c r="A55" s="28">
        <v>46</v>
      </c>
      <c r="B55" s="33">
        <v>45047</v>
      </c>
      <c r="C55" s="31">
        <f t="shared" si="13"/>
        <v>4420.416666666667</v>
      </c>
      <c r="D55" s="31">
        <f t="shared" si="4"/>
        <v>3940.7752621158397</v>
      </c>
      <c r="E55" s="31">
        <f t="shared" si="1"/>
        <v>4047.7084241136108</v>
      </c>
      <c r="F55" s="31">
        <f t="shared" si="2"/>
        <v>4047.7084241138364</v>
      </c>
      <c r="G55" s="31">
        <f t="shared" si="5"/>
        <v>11.023482959269252</v>
      </c>
      <c r="H55" s="32">
        <f t="shared" si="3"/>
        <v>4420.4166666669698</v>
      </c>
      <c r="I55" s="31"/>
      <c r="J55" s="28">
        <v>22</v>
      </c>
      <c r="K55" s="33">
        <v>45047</v>
      </c>
      <c r="L55" s="31">
        <f t="shared" si="14"/>
        <v>4641.4375000000009</v>
      </c>
      <c r="M55" s="31">
        <f t="shared" si="8"/>
        <v>4393.3531891250777</v>
      </c>
      <c r="N55" s="31">
        <f t="shared" si="9"/>
        <v>4259.3302007695884</v>
      </c>
      <c r="O55" s="31">
        <f t="shared" si="10"/>
        <v>4259.3302007695756</v>
      </c>
      <c r="P55" s="31">
        <f t="shared" si="15"/>
        <v>11.574657107232209</v>
      </c>
      <c r="Q55" s="32">
        <f t="shared" si="11"/>
        <v>4641.4375000001155</v>
      </c>
      <c r="R55" s="31"/>
      <c r="S55" s="115"/>
      <c r="T55" s="116"/>
      <c r="U55" s="116"/>
      <c r="V55" s="40"/>
      <c r="W55" s="40"/>
      <c r="X55" s="40"/>
      <c r="Y55" s="40"/>
      <c r="Z55" s="70"/>
    </row>
    <row r="56" spans="1:26" x14ac:dyDescent="0.25">
      <c r="A56" s="28">
        <v>47</v>
      </c>
      <c r="B56" s="33">
        <v>45078</v>
      </c>
      <c r="C56" s="31">
        <f t="shared" si="13"/>
        <v>4420.416666666667</v>
      </c>
      <c r="D56" s="31">
        <f>+C56/(1+F$1)^A56</f>
        <v>3930.9478923848778</v>
      </c>
      <c r="E56" s="31">
        <f t="shared" si="1"/>
        <v>4047.7084241136108</v>
      </c>
      <c r="F56" s="31">
        <f t="shared" si="2"/>
        <v>2.255546860396862E-10</v>
      </c>
      <c r="G56" s="31">
        <f t="shared" si="5"/>
        <v>7.5715433922596277E-13</v>
      </c>
      <c r="H56" s="32">
        <f t="shared" si="3"/>
        <v>3.0361889002961105E-10</v>
      </c>
      <c r="I56" s="31"/>
      <c r="J56" s="28">
        <v>23</v>
      </c>
      <c r="K56" s="33">
        <v>45078</v>
      </c>
      <c r="L56" s="31">
        <f t="shared" si="14"/>
        <v>4641.4375000000009</v>
      </c>
      <c r="M56" s="31">
        <f>+L56/(1+F$1)^J56</f>
        <v>4382.3971961347406</v>
      </c>
      <c r="N56" s="31">
        <f t="shared" si="9"/>
        <v>4259.3302007695884</v>
      </c>
      <c r="O56" s="31">
        <f t="shared" si="10"/>
        <v>-1.2732925824820995E-11</v>
      </c>
      <c r="P56" s="31">
        <f t="shared" si="15"/>
        <v>2.864908310584724E-13</v>
      </c>
      <c r="Q56" s="32">
        <f t="shared" si="11"/>
        <v>1.1488282325444743E-10</v>
      </c>
      <c r="R56" s="31"/>
      <c r="S56" s="115"/>
      <c r="T56" s="116"/>
      <c r="U56" s="116"/>
      <c r="V56" s="40"/>
      <c r="W56" s="40"/>
      <c r="X56" s="40"/>
      <c r="Y56" s="40"/>
      <c r="Z56" s="70"/>
    </row>
    <row r="57" spans="1:26" ht="15.75" thickBot="1" x14ac:dyDescent="0.3">
      <c r="A57" s="35"/>
      <c r="B57" s="36"/>
      <c r="C57" s="37">
        <f>SUM(C9:C56)</f>
        <v>206044.99999999988</v>
      </c>
      <c r="D57" s="37">
        <f>SUM(D9:D56)</f>
        <v>194290.00435745332</v>
      </c>
      <c r="E57" s="37">
        <f>SUM(E9:E56)</f>
        <v>194290.00435745309</v>
      </c>
      <c r="F57" s="36"/>
      <c r="G57" s="37">
        <f>SUM(G9:G56)</f>
        <v>11754.995642546941</v>
      </c>
      <c r="H57" s="38"/>
      <c r="I57" s="29"/>
      <c r="J57" s="35"/>
      <c r="K57" s="36"/>
      <c r="L57" s="37">
        <f>SUM(L9:L56)</f>
        <v>109772.25000000001</v>
      </c>
      <c r="M57" s="37">
        <f>SUM(M9:M56)</f>
        <v>106657.37543461393</v>
      </c>
      <c r="N57" s="37">
        <f>SUM(N9:N56)</f>
        <v>102223.92481847013</v>
      </c>
      <c r="O57" s="36"/>
      <c r="P57" s="37">
        <f>SUM(P9:P56)</f>
        <v>3114.8745653861665</v>
      </c>
      <c r="Q57" s="38"/>
      <c r="R57" s="29"/>
      <c r="S57" s="115"/>
      <c r="T57" s="116"/>
      <c r="U57" s="116"/>
      <c r="V57" s="40"/>
      <c r="W57" s="40"/>
      <c r="X57" s="40"/>
      <c r="Y57" s="40"/>
      <c r="Z57" s="70"/>
    </row>
    <row r="58" spans="1:26" ht="9.75" customHeight="1" thickBot="1" x14ac:dyDescent="0.3">
      <c r="A58" s="29"/>
      <c r="B58" s="29"/>
      <c r="C58" s="30"/>
      <c r="D58" s="30"/>
      <c r="E58" s="30"/>
      <c r="F58" s="29"/>
      <c r="G58" s="30"/>
      <c r="H58" s="29"/>
      <c r="I58" s="29"/>
      <c r="J58" s="29"/>
      <c r="K58" s="29"/>
      <c r="L58" s="30"/>
      <c r="M58" s="30"/>
      <c r="N58" s="30"/>
      <c r="O58" s="29"/>
      <c r="P58" s="30"/>
      <c r="Q58" s="29"/>
      <c r="R58" s="29"/>
      <c r="S58" s="198"/>
      <c r="T58" s="198"/>
      <c r="U58" s="198"/>
      <c r="V58" s="111"/>
      <c r="W58" s="111"/>
      <c r="X58" s="111"/>
      <c r="Y58" s="111"/>
      <c r="Z58" s="112"/>
    </row>
    <row r="59" spans="1:26" x14ac:dyDescent="0.25">
      <c r="A59" s="332" t="s">
        <v>278</v>
      </c>
      <c r="B59" s="333"/>
      <c r="C59" s="333"/>
      <c r="D59" s="333"/>
      <c r="E59" s="333"/>
      <c r="F59" s="333"/>
      <c r="G59" s="333"/>
      <c r="H59" s="333"/>
      <c r="I59" s="333"/>
      <c r="J59" s="333"/>
      <c r="K59" s="333"/>
      <c r="L59" s="333"/>
      <c r="M59" s="333"/>
      <c r="N59" s="333"/>
      <c r="O59" s="333"/>
      <c r="P59" s="333"/>
      <c r="Q59" s="333"/>
      <c r="R59" s="333"/>
      <c r="S59" s="333"/>
      <c r="T59" s="333"/>
      <c r="U59" s="333"/>
      <c r="V59" s="333"/>
      <c r="W59" s="333"/>
      <c r="X59" s="333"/>
      <c r="Y59" s="333"/>
      <c r="Z59" s="334"/>
    </row>
    <row r="60" spans="1:26" ht="15" customHeight="1" x14ac:dyDescent="0.25">
      <c r="A60" s="317" t="s">
        <v>442</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9"/>
    </row>
    <row r="61" spans="1:26" ht="196.5" customHeight="1" x14ac:dyDescent="0.25">
      <c r="A61" s="317" t="s">
        <v>443</v>
      </c>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9"/>
    </row>
    <row r="62" spans="1:26" ht="4.5" customHeight="1" thickBot="1" x14ac:dyDescent="0.3">
      <c r="A62" s="396"/>
      <c r="B62" s="397"/>
      <c r="C62" s="397"/>
      <c r="D62" s="397"/>
      <c r="E62" s="397"/>
      <c r="F62" s="397"/>
      <c r="G62" s="397"/>
      <c r="H62" s="397"/>
      <c r="I62" s="397"/>
      <c r="J62" s="397"/>
      <c r="K62" s="397"/>
      <c r="L62" s="397"/>
      <c r="M62" s="397"/>
      <c r="N62" s="397"/>
      <c r="O62" s="397"/>
      <c r="P62" s="397"/>
      <c r="Q62" s="397"/>
      <c r="R62" s="397"/>
      <c r="S62" s="397"/>
      <c r="T62" s="397"/>
      <c r="U62" s="397"/>
      <c r="V62" s="397"/>
      <c r="W62" s="397"/>
      <c r="X62" s="397"/>
      <c r="Y62" s="397"/>
      <c r="Z62" s="398"/>
    </row>
    <row r="63" spans="1:26" ht="9.75" customHeight="1" thickBot="1" x14ac:dyDescent="0.3">
      <c r="S63" s="197"/>
      <c r="T63" s="197"/>
      <c r="U63" s="184"/>
      <c r="V63" s="184"/>
      <c r="W63" s="184"/>
      <c r="X63" s="184"/>
      <c r="Y63" s="184"/>
      <c r="Z63" s="75"/>
    </row>
    <row r="64" spans="1:26" s="107" customFormat="1" x14ac:dyDescent="0.25">
      <c r="A64" s="278" t="s">
        <v>208</v>
      </c>
      <c r="B64" s="279"/>
      <c r="C64" s="279"/>
      <c r="D64" s="279"/>
      <c r="E64" s="279"/>
      <c r="F64" s="279"/>
      <c r="G64" s="279"/>
      <c r="H64" s="279"/>
      <c r="I64" s="279"/>
      <c r="J64" s="279"/>
      <c r="K64" s="279"/>
      <c r="L64" s="279"/>
      <c r="M64" s="279"/>
      <c r="N64" s="279"/>
      <c r="O64" s="279"/>
      <c r="P64" s="279"/>
      <c r="Q64" s="279"/>
      <c r="R64" s="279"/>
      <c r="S64" s="279"/>
      <c r="T64" s="279"/>
      <c r="U64" s="279"/>
      <c r="V64" s="279"/>
      <c r="W64" s="279"/>
      <c r="X64" s="279"/>
      <c r="Y64" s="279"/>
      <c r="Z64" s="280"/>
    </row>
    <row r="65" spans="1:26" s="107" customFormat="1" ht="16.5" customHeight="1" x14ac:dyDescent="0.25">
      <c r="A65" s="424" t="s">
        <v>212</v>
      </c>
      <c r="B65" s="425"/>
      <c r="C65" s="425"/>
      <c r="D65" s="425"/>
      <c r="E65" s="425"/>
      <c r="F65" s="425"/>
      <c r="G65" s="425"/>
      <c r="H65" s="425"/>
      <c r="I65" s="425"/>
      <c r="J65" s="425"/>
      <c r="K65" s="425"/>
      <c r="L65" s="425"/>
      <c r="M65" s="425"/>
      <c r="N65" s="425"/>
      <c r="O65" s="425"/>
      <c r="P65" s="425"/>
      <c r="Q65" s="425"/>
      <c r="R65" s="425"/>
      <c r="S65" s="425"/>
      <c r="T65" s="425"/>
      <c r="U65" s="425"/>
      <c r="V65" s="425"/>
      <c r="W65" s="425"/>
      <c r="X65" s="425"/>
      <c r="Y65" s="425"/>
      <c r="Z65" s="426"/>
    </row>
    <row r="66" spans="1:26" s="107" customFormat="1" ht="46.5" customHeight="1" x14ac:dyDescent="0.25">
      <c r="A66" s="427" t="s">
        <v>213</v>
      </c>
      <c r="B66" s="428"/>
      <c r="C66" s="428"/>
      <c r="D66" s="428"/>
      <c r="E66" s="428"/>
      <c r="F66" s="428"/>
      <c r="G66" s="428"/>
      <c r="H66" s="428"/>
      <c r="I66" s="428"/>
      <c r="J66" s="428"/>
      <c r="K66" s="428"/>
      <c r="L66" s="428"/>
      <c r="M66" s="428"/>
      <c r="N66" s="428"/>
      <c r="O66" s="428"/>
      <c r="P66" s="428"/>
      <c r="Q66" s="428"/>
      <c r="R66" s="428"/>
      <c r="S66" s="428"/>
      <c r="T66" s="428"/>
      <c r="U66" s="428"/>
      <c r="V66" s="428"/>
      <c r="W66" s="428"/>
      <c r="X66" s="428"/>
      <c r="Y66" s="428"/>
      <c r="Z66" s="429"/>
    </row>
    <row r="67" spans="1:26" ht="94.5" customHeight="1" x14ac:dyDescent="0.25">
      <c r="A67" s="294" t="s">
        <v>210</v>
      </c>
      <c r="B67" s="295"/>
      <c r="C67" s="295"/>
      <c r="D67" s="295"/>
      <c r="E67" s="295"/>
      <c r="F67" s="295"/>
      <c r="G67" s="295"/>
      <c r="H67" s="295"/>
      <c r="I67" s="295"/>
      <c r="J67" s="295"/>
      <c r="K67" s="295"/>
      <c r="L67" s="295"/>
      <c r="M67" s="295"/>
      <c r="N67" s="295"/>
      <c r="O67" s="295"/>
      <c r="P67" s="295"/>
      <c r="Q67" s="295"/>
      <c r="R67" s="295"/>
      <c r="S67" s="295"/>
      <c r="T67" s="295"/>
      <c r="U67" s="295"/>
      <c r="V67" s="295"/>
      <c r="W67" s="295"/>
      <c r="X67" s="295"/>
      <c r="Y67" s="295"/>
      <c r="Z67" s="296"/>
    </row>
    <row r="68" spans="1:26" ht="6.75" customHeight="1" x14ac:dyDescent="0.25">
      <c r="A68" s="420"/>
      <c r="B68" s="295"/>
      <c r="C68" s="295"/>
      <c r="D68" s="295"/>
      <c r="E68" s="295"/>
      <c r="F68" s="295"/>
      <c r="G68" s="295"/>
      <c r="H68" s="295"/>
      <c r="I68" s="295"/>
      <c r="J68" s="295"/>
      <c r="K68" s="295"/>
      <c r="L68" s="295"/>
      <c r="M68" s="295"/>
      <c r="N68" s="295"/>
      <c r="O68" s="295"/>
      <c r="P68" s="295"/>
      <c r="Q68" s="295"/>
      <c r="R68" s="295"/>
      <c r="S68" s="295"/>
      <c r="T68" s="295"/>
      <c r="U68" s="295"/>
      <c r="V68" s="295"/>
      <c r="W68" s="295"/>
      <c r="X68" s="295"/>
      <c r="Y68" s="295"/>
      <c r="Z68" s="296"/>
    </row>
    <row r="69" spans="1:26" x14ac:dyDescent="0.25">
      <c r="A69" s="420" t="s">
        <v>226</v>
      </c>
      <c r="B69" s="295"/>
      <c r="C69" s="295"/>
      <c r="D69" s="295"/>
      <c r="E69" s="295"/>
      <c r="F69" s="295"/>
      <c r="G69" s="295"/>
      <c r="H69" s="295"/>
      <c r="I69" s="295"/>
      <c r="J69" s="295"/>
      <c r="K69" s="295"/>
      <c r="L69" s="295"/>
      <c r="M69" s="295"/>
      <c r="N69" s="295"/>
      <c r="O69" s="295"/>
      <c r="P69" s="295"/>
      <c r="Q69" s="295"/>
      <c r="R69" s="295"/>
      <c r="S69" s="295"/>
      <c r="T69" s="295"/>
      <c r="U69" s="295"/>
      <c r="V69" s="295"/>
      <c r="W69" s="295"/>
      <c r="X69" s="295"/>
      <c r="Y69" s="295"/>
      <c r="Z69" s="296"/>
    </row>
    <row r="70" spans="1:26" x14ac:dyDescent="0.25">
      <c r="A70" s="420" t="s">
        <v>225</v>
      </c>
      <c r="B70" s="295"/>
      <c r="C70" s="295"/>
      <c r="D70" s="295"/>
      <c r="E70" s="295"/>
      <c r="F70" s="295"/>
      <c r="G70" s="295"/>
      <c r="H70" s="295"/>
      <c r="I70" s="295"/>
      <c r="J70" s="295"/>
      <c r="K70" s="295"/>
      <c r="L70" s="295"/>
      <c r="M70" s="295"/>
      <c r="N70" s="295"/>
      <c r="O70" s="295"/>
      <c r="P70" s="295"/>
      <c r="Q70" s="295"/>
      <c r="R70" s="295"/>
      <c r="S70" s="295"/>
      <c r="T70" s="295"/>
      <c r="U70" s="295"/>
      <c r="V70" s="295"/>
      <c r="W70" s="295"/>
      <c r="X70" s="295"/>
      <c r="Y70" s="295"/>
      <c r="Z70" s="296"/>
    </row>
    <row r="71" spans="1:26" ht="3" customHeight="1" thickBot="1" x14ac:dyDescent="0.3">
      <c r="A71" s="421"/>
      <c r="B71" s="422"/>
      <c r="C71" s="422"/>
      <c r="D71" s="422"/>
      <c r="E71" s="422"/>
      <c r="F71" s="422"/>
      <c r="G71" s="422"/>
      <c r="H71" s="422"/>
      <c r="I71" s="422"/>
      <c r="J71" s="422"/>
      <c r="K71" s="422"/>
      <c r="L71" s="422"/>
      <c r="M71" s="422"/>
      <c r="N71" s="422"/>
      <c r="O71" s="422"/>
      <c r="P71" s="422"/>
      <c r="Q71" s="422"/>
      <c r="R71" s="422"/>
      <c r="S71" s="422"/>
      <c r="T71" s="422"/>
      <c r="U71" s="422"/>
      <c r="V71" s="422"/>
      <c r="W71" s="422"/>
      <c r="X71" s="422"/>
      <c r="Y71" s="422"/>
      <c r="Z71" s="423"/>
    </row>
  </sheetData>
  <mergeCells count="18">
    <mergeCell ref="A67:Z67"/>
    <mergeCell ref="A68:Z68"/>
    <mergeCell ref="A69:Z69"/>
    <mergeCell ref="A70:Z70"/>
    <mergeCell ref="A71:Z71"/>
    <mergeCell ref="A65:Z65"/>
    <mergeCell ref="A66:Z66"/>
    <mergeCell ref="A3:Z3"/>
    <mergeCell ref="A4:Z4"/>
    <mergeCell ref="A5:Z5"/>
    <mergeCell ref="A7:H7"/>
    <mergeCell ref="J7:Q7"/>
    <mergeCell ref="S7:Z7"/>
    <mergeCell ref="A61:Z61"/>
    <mergeCell ref="A59:Z59"/>
    <mergeCell ref="A60:Z60"/>
    <mergeCell ref="A62:Z62"/>
    <mergeCell ref="A64:Z64"/>
  </mergeCells>
  <pageMargins left="0.70866141732283472" right="0.70866141732283472" top="0.74803149606299213" bottom="0.74803149606299213" header="0.31496062992125984" footer="0.31496062992125984"/>
  <pageSetup paperSize="8" scale="87"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R79"/>
  <sheetViews>
    <sheetView view="pageBreakPreview" topLeftCell="A58" zoomScaleNormal="100" zoomScaleSheetLayoutView="100" workbookViewId="0">
      <selection activeCell="U14" sqref="U14:U62"/>
    </sheetView>
  </sheetViews>
  <sheetFormatPr defaultRowHeight="15" outlineLevelRow="1" x14ac:dyDescent="0.25"/>
  <cols>
    <col min="1" max="1" width="3.85546875" customWidth="1"/>
    <col min="2" max="6" width="7.28515625" customWidth="1"/>
    <col min="7" max="7" width="8.5703125" customWidth="1"/>
    <col min="8" max="8" width="8.7109375" customWidth="1"/>
    <col min="9" max="9" width="8.140625" customWidth="1"/>
    <col min="10" max="10" width="8.28515625" customWidth="1"/>
    <col min="11" max="11" width="8.140625" customWidth="1"/>
    <col min="12" max="12" width="8.28515625" customWidth="1"/>
    <col min="13" max="13" width="2" style="29" customWidth="1"/>
    <col min="14" max="14" width="2.7109375" style="1" customWidth="1"/>
    <col min="15" max="15" width="9.7109375" style="1" bestFit="1" customWidth="1"/>
    <col min="16" max="16" width="3" customWidth="1"/>
    <col min="17" max="17" width="8.42578125" customWidth="1"/>
    <col min="18" max="18" width="5.85546875" customWidth="1"/>
    <col min="19" max="19" width="3.140625" customWidth="1"/>
    <col min="20" max="20" width="32.42578125" customWidth="1"/>
    <col min="21" max="21" width="9.140625" style="72"/>
  </cols>
  <sheetData>
    <row r="1" spans="1:21" x14ac:dyDescent="0.25">
      <c r="A1" s="1" t="s">
        <v>129</v>
      </c>
      <c r="G1" s="1"/>
      <c r="J1" s="22">
        <v>2.5000000000000001E-3</v>
      </c>
      <c r="T1" s="1" t="s">
        <v>252</v>
      </c>
    </row>
    <row r="2" spans="1:21" ht="9" customHeight="1" thickBot="1" x14ac:dyDescent="0.3"/>
    <row r="3" spans="1:21" ht="15.75" outlineLevel="1" x14ac:dyDescent="0.25">
      <c r="A3" s="411" t="s">
        <v>183</v>
      </c>
      <c r="B3" s="412"/>
      <c r="C3" s="412"/>
      <c r="D3" s="412"/>
      <c r="E3" s="412"/>
      <c r="F3" s="412"/>
      <c r="G3" s="412"/>
      <c r="H3" s="412"/>
      <c r="I3" s="412"/>
      <c r="J3" s="412"/>
      <c r="K3" s="412"/>
      <c r="L3" s="412"/>
      <c r="M3" s="412"/>
      <c r="N3" s="412"/>
      <c r="O3" s="412"/>
      <c r="P3" s="412"/>
      <c r="Q3" s="412"/>
      <c r="R3" s="412"/>
      <c r="S3" s="412"/>
      <c r="T3" s="412"/>
      <c r="U3" s="413"/>
    </row>
    <row r="4" spans="1:21" outlineLevel="1" x14ac:dyDescent="0.25">
      <c r="A4" s="414" t="s">
        <v>317</v>
      </c>
      <c r="B4" s="415"/>
      <c r="C4" s="415"/>
      <c r="D4" s="415"/>
      <c r="E4" s="415"/>
      <c r="F4" s="415"/>
      <c r="G4" s="415"/>
      <c r="H4" s="415"/>
      <c r="I4" s="415"/>
      <c r="J4" s="415"/>
      <c r="K4" s="415"/>
      <c r="L4" s="415"/>
      <c r="M4" s="415"/>
      <c r="N4" s="415"/>
      <c r="O4" s="415"/>
      <c r="P4" s="415"/>
      <c r="Q4" s="415"/>
      <c r="R4" s="415"/>
      <c r="S4" s="415"/>
      <c r="T4" s="415"/>
      <c r="U4" s="416"/>
    </row>
    <row r="5" spans="1:21" outlineLevel="1" x14ac:dyDescent="0.25">
      <c r="A5" s="414" t="s">
        <v>261</v>
      </c>
      <c r="B5" s="415"/>
      <c r="C5" s="415"/>
      <c r="D5" s="415"/>
      <c r="E5" s="415"/>
      <c r="F5" s="415"/>
      <c r="G5" s="415"/>
      <c r="H5" s="415"/>
      <c r="I5" s="415"/>
      <c r="J5" s="415"/>
      <c r="K5" s="415"/>
      <c r="L5" s="415"/>
      <c r="M5" s="415"/>
      <c r="N5" s="415"/>
      <c r="O5" s="415"/>
      <c r="P5" s="415"/>
      <c r="Q5" s="415"/>
      <c r="R5" s="415"/>
      <c r="S5" s="415"/>
      <c r="T5" s="415"/>
      <c r="U5" s="416"/>
    </row>
    <row r="6" spans="1:21" outlineLevel="1" x14ac:dyDescent="0.25">
      <c r="A6" s="121" t="s">
        <v>265</v>
      </c>
      <c r="B6" s="122"/>
      <c r="C6" s="122"/>
      <c r="D6" s="122"/>
      <c r="E6" s="122"/>
      <c r="F6" s="122"/>
      <c r="G6" s="122"/>
      <c r="H6" s="122"/>
      <c r="I6" s="122"/>
      <c r="J6" s="122"/>
      <c r="K6" s="122"/>
      <c r="L6" s="122"/>
      <c r="M6" s="122"/>
      <c r="N6" s="122"/>
      <c r="O6" s="122"/>
      <c r="P6" s="122"/>
      <c r="Q6" s="122"/>
      <c r="R6" s="122"/>
      <c r="S6" s="122"/>
      <c r="T6" s="122"/>
      <c r="U6" s="123"/>
    </row>
    <row r="7" spans="1:21" ht="77.25" customHeight="1" outlineLevel="1" x14ac:dyDescent="0.25">
      <c r="A7" s="435" t="s">
        <v>327</v>
      </c>
      <c r="B7" s="415"/>
      <c r="C7" s="415"/>
      <c r="D7" s="415"/>
      <c r="E7" s="415"/>
      <c r="F7" s="415"/>
      <c r="G7" s="415"/>
      <c r="H7" s="415"/>
      <c r="I7" s="415"/>
      <c r="J7" s="415"/>
      <c r="K7" s="415"/>
      <c r="L7" s="415"/>
      <c r="M7" s="415"/>
      <c r="N7" s="415"/>
      <c r="O7" s="415"/>
      <c r="P7" s="415"/>
      <c r="Q7" s="415"/>
      <c r="R7" s="415"/>
      <c r="S7" s="415"/>
      <c r="T7" s="415"/>
      <c r="U7" s="416"/>
    </row>
    <row r="8" spans="1:21" ht="15" customHeight="1" outlineLevel="1" thickBot="1" x14ac:dyDescent="0.3">
      <c r="A8" s="432" t="s">
        <v>330</v>
      </c>
      <c r="B8" s="433"/>
      <c r="C8" s="433"/>
      <c r="D8" s="433"/>
      <c r="E8" s="433"/>
      <c r="F8" s="433"/>
      <c r="G8" s="433"/>
      <c r="H8" s="433"/>
      <c r="I8" s="433"/>
      <c r="J8" s="433"/>
      <c r="K8" s="433"/>
      <c r="L8" s="433"/>
      <c r="M8" s="433"/>
      <c r="N8" s="433"/>
      <c r="O8" s="433"/>
      <c r="P8" s="433"/>
      <c r="Q8" s="433"/>
      <c r="R8" s="433"/>
      <c r="S8" s="433"/>
      <c r="T8" s="433"/>
      <c r="U8" s="434"/>
    </row>
    <row r="9" spans="1:21" ht="13.5" customHeight="1" thickBot="1" x14ac:dyDescent="0.3"/>
    <row r="10" spans="1:21" ht="15.75" thickBot="1" x14ac:dyDescent="0.3">
      <c r="A10" s="284" t="s">
        <v>184</v>
      </c>
      <c r="B10" s="285"/>
      <c r="C10" s="285"/>
      <c r="D10" s="285"/>
      <c r="E10" s="285"/>
      <c r="F10" s="285"/>
      <c r="G10" s="285"/>
      <c r="H10" s="285"/>
      <c r="I10" s="285"/>
      <c r="J10" s="285"/>
      <c r="K10" s="285"/>
      <c r="L10" s="286"/>
      <c r="N10" s="302" t="s">
        <v>185</v>
      </c>
      <c r="O10" s="303"/>
      <c r="P10" s="303"/>
      <c r="Q10" s="303"/>
      <c r="R10" s="303"/>
      <c r="S10" s="303"/>
      <c r="T10" s="303"/>
      <c r="U10" s="304"/>
    </row>
    <row r="11" spans="1:21" s="1" customFormat="1" ht="68.25" customHeight="1" thickBot="1" x14ac:dyDescent="0.3">
      <c r="A11" s="24" t="s">
        <v>99</v>
      </c>
      <c r="B11" s="25" t="s">
        <v>98</v>
      </c>
      <c r="C11" s="25" t="s">
        <v>253</v>
      </c>
      <c r="D11" s="25" t="s">
        <v>254</v>
      </c>
      <c r="E11" s="25" t="s">
        <v>255</v>
      </c>
      <c r="F11" s="25" t="s">
        <v>256</v>
      </c>
      <c r="G11" s="26" t="s">
        <v>257</v>
      </c>
      <c r="H11" s="26" t="s">
        <v>93</v>
      </c>
      <c r="I11" s="26" t="s">
        <v>97</v>
      </c>
      <c r="J11" s="26" t="s">
        <v>96</v>
      </c>
      <c r="K11" s="26" t="s">
        <v>95</v>
      </c>
      <c r="L11" s="27" t="s">
        <v>104</v>
      </c>
      <c r="M11" s="71"/>
      <c r="N11" s="78"/>
      <c r="O11" s="79" t="s">
        <v>172</v>
      </c>
      <c r="P11" s="79"/>
      <c r="Q11" s="79" t="s">
        <v>168</v>
      </c>
      <c r="R11" s="79" t="s">
        <v>169</v>
      </c>
      <c r="S11" s="79" t="s">
        <v>152</v>
      </c>
      <c r="T11" s="79" t="s">
        <v>170</v>
      </c>
      <c r="U11" s="80" t="s">
        <v>171</v>
      </c>
    </row>
    <row r="12" spans="1:21" ht="48.75" customHeight="1" x14ac:dyDescent="0.25">
      <c r="A12" s="28"/>
      <c r="B12" s="33"/>
      <c r="C12" s="33"/>
      <c r="D12" s="33"/>
      <c r="E12" s="33"/>
      <c r="F12" s="33"/>
      <c r="G12" s="75"/>
      <c r="H12" s="31"/>
      <c r="I12" s="31"/>
      <c r="J12" s="31"/>
      <c r="K12" s="31"/>
      <c r="L12" s="32"/>
      <c r="N12" s="60"/>
      <c r="O12" s="430"/>
      <c r="P12" s="430"/>
      <c r="Q12" s="430"/>
      <c r="R12" s="430"/>
      <c r="S12" s="430"/>
      <c r="T12" s="430"/>
      <c r="U12" s="431"/>
    </row>
    <row r="13" spans="1:21" x14ac:dyDescent="0.25">
      <c r="A13" s="28"/>
      <c r="B13" s="33">
        <v>43647</v>
      </c>
      <c r="C13" s="33"/>
      <c r="D13" s="33"/>
      <c r="E13" s="33"/>
      <c r="F13" s="33"/>
      <c r="G13" s="31">
        <f t="shared" ref="G13:G24" si="0">SUM(C13:F13)</f>
        <v>0</v>
      </c>
      <c r="H13" s="31"/>
      <c r="I13" s="31"/>
      <c r="J13" s="31"/>
      <c r="K13" s="31"/>
      <c r="L13" s="32"/>
      <c r="N13" s="60"/>
      <c r="O13" s="430"/>
      <c r="P13" s="430"/>
      <c r="Q13" s="430"/>
      <c r="R13" s="430"/>
      <c r="S13" s="430"/>
      <c r="T13" s="430"/>
      <c r="U13" s="431"/>
    </row>
    <row r="14" spans="1:21" x14ac:dyDescent="0.25">
      <c r="A14" s="28"/>
      <c r="B14" s="33">
        <v>43678</v>
      </c>
      <c r="C14" s="31">
        <v>1200</v>
      </c>
      <c r="D14" s="33"/>
      <c r="E14" s="33"/>
      <c r="F14" s="33"/>
      <c r="G14" s="31">
        <f t="shared" si="0"/>
        <v>1200</v>
      </c>
      <c r="H14" s="31"/>
      <c r="I14" s="31"/>
      <c r="J14" s="31"/>
      <c r="K14" s="31"/>
      <c r="L14" s="32"/>
      <c r="N14" s="60"/>
      <c r="O14" s="66"/>
      <c r="P14" s="109"/>
      <c r="Q14" s="109"/>
      <c r="R14" s="109"/>
      <c r="S14" s="109"/>
      <c r="T14" s="109"/>
      <c r="U14" s="110"/>
    </row>
    <row r="15" spans="1:21" x14ac:dyDescent="0.25">
      <c r="A15" s="28"/>
      <c r="B15" s="33">
        <v>43709</v>
      </c>
      <c r="C15" s="31">
        <v>1200</v>
      </c>
      <c r="D15" s="33"/>
      <c r="E15" s="33"/>
      <c r="F15" s="33"/>
      <c r="G15" s="31">
        <f t="shared" si="0"/>
        <v>1200</v>
      </c>
      <c r="H15" s="31"/>
      <c r="I15" s="31"/>
      <c r="J15" s="31"/>
      <c r="K15" s="31"/>
      <c r="L15" s="32"/>
      <c r="N15" s="60"/>
      <c r="O15" s="61"/>
      <c r="P15" s="40"/>
      <c r="Q15" s="40"/>
      <c r="R15" s="40"/>
      <c r="S15" s="40"/>
      <c r="T15" s="40"/>
      <c r="U15" s="70"/>
    </row>
    <row r="16" spans="1:21" x14ac:dyDescent="0.25">
      <c r="A16" s="28"/>
      <c r="B16" s="33">
        <v>43739</v>
      </c>
      <c r="C16" s="31">
        <v>1200</v>
      </c>
      <c r="D16" s="31">
        <v>1000</v>
      </c>
      <c r="E16" s="33"/>
      <c r="F16" s="33"/>
      <c r="G16" s="31">
        <f t="shared" si="0"/>
        <v>2200</v>
      </c>
      <c r="H16" s="31"/>
      <c r="I16" s="31"/>
      <c r="J16" s="31"/>
      <c r="K16" s="31"/>
      <c r="L16" s="32"/>
      <c r="N16" s="60"/>
      <c r="O16" s="61"/>
      <c r="P16" s="40"/>
      <c r="Q16" s="40"/>
      <c r="R16" s="40"/>
      <c r="S16" s="40"/>
      <c r="T16" s="40"/>
      <c r="U16" s="70"/>
    </row>
    <row r="17" spans="1:21" x14ac:dyDescent="0.25">
      <c r="A17" s="28"/>
      <c r="B17" s="33">
        <v>43770</v>
      </c>
      <c r="C17" s="31">
        <v>1200</v>
      </c>
      <c r="D17" s="31">
        <v>1000</v>
      </c>
      <c r="E17" s="33"/>
      <c r="F17" s="33"/>
      <c r="G17" s="31">
        <f t="shared" si="0"/>
        <v>2200</v>
      </c>
      <c r="H17" s="31"/>
      <c r="I17" s="31"/>
      <c r="J17" s="31"/>
      <c r="K17" s="31"/>
      <c r="L17" s="32"/>
      <c r="N17" s="60"/>
      <c r="O17" s="119"/>
      <c r="P17" s="119"/>
      <c r="Q17" s="119"/>
      <c r="R17" s="119"/>
      <c r="S17" s="119"/>
      <c r="T17" s="119"/>
      <c r="U17" s="120"/>
    </row>
    <row r="18" spans="1:21" x14ac:dyDescent="0.25">
      <c r="A18" s="28"/>
      <c r="B18" s="33">
        <v>43800</v>
      </c>
      <c r="C18" s="31">
        <v>1200</v>
      </c>
      <c r="D18" s="31">
        <v>1000</v>
      </c>
      <c r="E18" s="33"/>
      <c r="F18" s="33"/>
      <c r="G18" s="31">
        <f t="shared" si="0"/>
        <v>2200</v>
      </c>
      <c r="H18" s="31"/>
      <c r="I18" s="31"/>
      <c r="J18" s="31"/>
      <c r="K18" s="31"/>
      <c r="L18" s="32"/>
      <c r="N18" s="60"/>
      <c r="O18" s="61"/>
      <c r="P18" s="40"/>
      <c r="Q18" s="40"/>
      <c r="R18" s="40"/>
      <c r="S18" s="40"/>
      <c r="T18" s="40"/>
      <c r="U18" s="70"/>
    </row>
    <row r="19" spans="1:21" x14ac:dyDescent="0.25">
      <c r="A19" s="28"/>
      <c r="B19" s="33">
        <v>43831</v>
      </c>
      <c r="C19" s="31">
        <v>1200</v>
      </c>
      <c r="D19" s="31">
        <v>1000</v>
      </c>
      <c r="E19" s="31">
        <v>1150</v>
      </c>
      <c r="F19" s="33"/>
      <c r="G19" s="31">
        <f t="shared" si="0"/>
        <v>3350</v>
      </c>
      <c r="H19" s="31"/>
      <c r="I19" s="31"/>
      <c r="J19" s="31"/>
      <c r="K19" s="31"/>
      <c r="L19" s="32"/>
      <c r="N19" s="60"/>
      <c r="O19" s="61"/>
      <c r="P19" s="40"/>
      <c r="Q19" s="40"/>
      <c r="R19" s="40"/>
      <c r="S19" s="40"/>
      <c r="T19" s="40"/>
      <c r="U19" s="70"/>
    </row>
    <row r="20" spans="1:21" x14ac:dyDescent="0.25">
      <c r="A20" s="28"/>
      <c r="B20" s="33">
        <v>43862</v>
      </c>
      <c r="C20" s="31">
        <v>1200</v>
      </c>
      <c r="D20" s="31">
        <v>1000</v>
      </c>
      <c r="E20" s="31">
        <v>1150</v>
      </c>
      <c r="F20" s="33"/>
      <c r="G20" s="31">
        <f t="shared" si="0"/>
        <v>3350</v>
      </c>
      <c r="H20" s="31"/>
      <c r="I20" s="31"/>
      <c r="J20" s="31"/>
      <c r="K20" s="31"/>
      <c r="L20" s="32"/>
      <c r="N20" s="60"/>
      <c r="O20" s="61"/>
      <c r="P20" s="40"/>
      <c r="Q20" s="40"/>
      <c r="R20" s="40"/>
      <c r="S20" s="40"/>
      <c r="T20" s="40"/>
      <c r="U20" s="70"/>
    </row>
    <row r="21" spans="1:21" x14ac:dyDescent="0.25">
      <c r="A21" s="28"/>
      <c r="B21" s="33">
        <v>43891</v>
      </c>
      <c r="C21" s="31">
        <v>1200</v>
      </c>
      <c r="D21" s="31">
        <v>1000</v>
      </c>
      <c r="E21" s="31">
        <v>1150</v>
      </c>
      <c r="F21" s="33"/>
      <c r="G21" s="31">
        <f t="shared" si="0"/>
        <v>3350</v>
      </c>
      <c r="H21" s="31"/>
      <c r="I21" s="31"/>
      <c r="J21" s="31"/>
      <c r="K21" s="31"/>
      <c r="L21" s="32"/>
      <c r="N21" s="60"/>
      <c r="O21" s="61"/>
      <c r="P21" s="40"/>
      <c r="Q21" s="40"/>
      <c r="R21" s="40"/>
      <c r="S21" s="40"/>
      <c r="T21" s="40"/>
      <c r="U21" s="70"/>
    </row>
    <row r="22" spans="1:21" x14ac:dyDescent="0.25">
      <c r="A22" s="28"/>
      <c r="B22" s="33">
        <v>43922</v>
      </c>
      <c r="C22" s="31">
        <v>1200</v>
      </c>
      <c r="D22" s="31">
        <v>1000</v>
      </c>
      <c r="E22" s="31">
        <v>1150</v>
      </c>
      <c r="F22" s="31">
        <v>1000</v>
      </c>
      <c r="G22" s="31">
        <f t="shared" si="0"/>
        <v>4350</v>
      </c>
      <c r="H22" s="31"/>
      <c r="I22" s="31"/>
      <c r="J22" s="31"/>
      <c r="K22" s="31"/>
      <c r="L22" s="32"/>
      <c r="N22" s="115" t="s">
        <v>109</v>
      </c>
      <c r="O22" s="116" t="s">
        <v>32</v>
      </c>
      <c r="P22" s="40" t="s">
        <v>0</v>
      </c>
      <c r="Q22" s="40"/>
      <c r="R22" s="40"/>
      <c r="S22" s="40"/>
      <c r="T22" s="40" t="s">
        <v>351</v>
      </c>
      <c r="U22" s="70">
        <f>+G25</f>
        <v>32100</v>
      </c>
    </row>
    <row r="23" spans="1:21" x14ac:dyDescent="0.25">
      <c r="A23" s="28"/>
      <c r="B23" s="33">
        <v>43952</v>
      </c>
      <c r="C23" s="31">
        <v>1200</v>
      </c>
      <c r="D23" s="31">
        <v>1000</v>
      </c>
      <c r="E23" s="31">
        <v>1150</v>
      </c>
      <c r="F23" s="31">
        <v>1000</v>
      </c>
      <c r="G23" s="31">
        <f t="shared" si="0"/>
        <v>4350</v>
      </c>
      <c r="H23" s="31"/>
      <c r="I23" s="31"/>
      <c r="J23" s="31"/>
      <c r="K23" s="31"/>
      <c r="L23" s="32"/>
      <c r="N23" s="60"/>
      <c r="O23" s="61"/>
      <c r="P23" s="40" t="s">
        <v>1</v>
      </c>
      <c r="Q23" s="40"/>
      <c r="R23" s="40"/>
      <c r="S23" s="40"/>
      <c r="T23" s="40" t="s">
        <v>31</v>
      </c>
      <c r="U23" s="70">
        <f>+U22</f>
        <v>32100</v>
      </c>
    </row>
    <row r="24" spans="1:21" x14ac:dyDescent="0.25">
      <c r="A24" s="28"/>
      <c r="B24" s="33">
        <v>43983</v>
      </c>
      <c r="C24" s="31">
        <v>1200</v>
      </c>
      <c r="D24" s="31">
        <v>1000</v>
      </c>
      <c r="E24" s="31">
        <v>1150</v>
      </c>
      <c r="F24" s="31">
        <v>1000</v>
      </c>
      <c r="G24" s="31">
        <f t="shared" si="0"/>
        <v>4350</v>
      </c>
      <c r="H24" s="31"/>
      <c r="I24" s="31"/>
      <c r="J24" s="31"/>
      <c r="K24" s="31"/>
      <c r="L24" s="32"/>
      <c r="N24" s="115" t="s">
        <v>258</v>
      </c>
      <c r="O24" s="61"/>
      <c r="P24" s="61"/>
      <c r="Q24" s="40"/>
      <c r="R24" s="40"/>
      <c r="S24" s="40"/>
      <c r="T24" s="40"/>
      <c r="U24" s="70"/>
    </row>
    <row r="25" spans="1:21" ht="15.75" thickBot="1" x14ac:dyDescent="0.3">
      <c r="A25" s="28"/>
      <c r="C25" s="31"/>
      <c r="D25" s="33"/>
      <c r="E25" s="33"/>
      <c r="F25" s="33"/>
      <c r="G25" s="30">
        <f>SUM(G13:G24)</f>
        <v>32100</v>
      </c>
      <c r="H25" s="31"/>
      <c r="I25" s="31"/>
      <c r="J25" s="31"/>
      <c r="K25" s="31"/>
      <c r="L25" s="32"/>
      <c r="N25" s="60"/>
      <c r="O25" s="61"/>
      <c r="P25" s="40"/>
      <c r="Q25" s="40"/>
      <c r="R25" s="40"/>
      <c r="S25" s="40"/>
      <c r="T25" s="40"/>
      <c r="U25" s="70"/>
    </row>
    <row r="26" spans="1:21" ht="15" customHeight="1" x14ac:dyDescent="0.25">
      <c r="A26" s="28"/>
      <c r="C26" s="31"/>
      <c r="D26" s="33"/>
      <c r="E26" s="33"/>
      <c r="F26" s="33"/>
      <c r="G26" s="31"/>
      <c r="H26" s="31"/>
      <c r="I26" s="31"/>
      <c r="J26" s="30">
        <f>+H60</f>
        <v>120259.42842139625</v>
      </c>
      <c r="K26" s="31"/>
      <c r="L26" s="34">
        <f>+H60</f>
        <v>120259.42842139625</v>
      </c>
      <c r="N26" s="124" t="s">
        <v>110</v>
      </c>
      <c r="O26" s="126">
        <v>44013</v>
      </c>
      <c r="P26" s="51" t="s">
        <v>0</v>
      </c>
      <c r="Q26" s="51">
        <v>5312002</v>
      </c>
      <c r="R26" s="51">
        <v>7321</v>
      </c>
      <c r="S26" s="51"/>
      <c r="T26" s="51" t="s">
        <v>259</v>
      </c>
      <c r="U26" s="69">
        <f>+J26</f>
        <v>120259.42842139625</v>
      </c>
    </row>
    <row r="27" spans="1:21" x14ac:dyDescent="0.25">
      <c r="A27" s="28">
        <v>0</v>
      </c>
      <c r="B27" s="33">
        <v>44013</v>
      </c>
      <c r="C27" s="31">
        <v>1200</v>
      </c>
      <c r="D27" s="31">
        <v>1000</v>
      </c>
      <c r="E27" s="31">
        <v>1150</v>
      </c>
      <c r="F27" s="31">
        <v>1000</v>
      </c>
      <c r="G27" s="31">
        <f>SUM(C27:F27)</f>
        <v>4350</v>
      </c>
      <c r="H27" s="31">
        <f>+G27/(1+J$1)^A27</f>
        <v>4350</v>
      </c>
      <c r="I27" s="31">
        <f>+J$26/33</f>
        <v>3644.2251036786743</v>
      </c>
      <c r="J27" s="31">
        <f>+J26-I27</f>
        <v>116615.20331771758</v>
      </c>
      <c r="K27" s="31">
        <f>+(L26-G27)*J$1</f>
        <v>289.77357105349063</v>
      </c>
      <c r="L27" s="32">
        <f>+L26-G27+K27</f>
        <v>116199.20199244974</v>
      </c>
      <c r="N27" s="60"/>
      <c r="O27" s="61"/>
      <c r="P27" s="40" t="s">
        <v>1</v>
      </c>
      <c r="Q27" s="40">
        <v>3240102</v>
      </c>
      <c r="R27" s="40"/>
      <c r="S27" s="40"/>
      <c r="T27" s="40" t="s">
        <v>270</v>
      </c>
      <c r="U27" s="70">
        <f>+L26</f>
        <v>120259.42842139625</v>
      </c>
    </row>
    <row r="28" spans="1:21" x14ac:dyDescent="0.25">
      <c r="A28" s="28">
        <v>1</v>
      </c>
      <c r="B28" s="33">
        <v>44044</v>
      </c>
      <c r="C28" s="31">
        <v>1200</v>
      </c>
      <c r="D28" s="31">
        <v>1000</v>
      </c>
      <c r="E28" s="31">
        <v>1150</v>
      </c>
      <c r="F28" s="31">
        <v>1000</v>
      </c>
      <c r="G28" s="31">
        <f t="shared" ref="G28:G59" si="1">SUM(C28:F28)</f>
        <v>4350</v>
      </c>
      <c r="H28" s="31">
        <f>+G28/(1+J$1)^A28</f>
        <v>4339.1521197007487</v>
      </c>
      <c r="I28" s="31">
        <f t="shared" ref="I28:I59" si="2">+J$26/33</f>
        <v>3644.2251036786743</v>
      </c>
      <c r="J28" s="31">
        <f t="shared" ref="J28:J59" si="3">+J27-I28</f>
        <v>112970.9782140389</v>
      </c>
      <c r="K28" s="31">
        <f t="shared" ref="K28:K59" si="4">+(L27-G28)*J$1</f>
        <v>279.62300498112438</v>
      </c>
      <c r="L28" s="32">
        <f t="shared" ref="L28:L59" si="5">+L27-G28+K28</f>
        <v>112128.82499743087</v>
      </c>
      <c r="N28" s="115" t="s">
        <v>331</v>
      </c>
      <c r="O28" s="61"/>
      <c r="P28" s="40"/>
      <c r="Q28" s="40"/>
      <c r="R28" s="40"/>
      <c r="S28" s="40"/>
      <c r="T28" s="40"/>
      <c r="U28" s="70"/>
    </row>
    <row r="29" spans="1:21" x14ac:dyDescent="0.25">
      <c r="A29" s="28">
        <v>2</v>
      </c>
      <c r="B29" s="33">
        <v>44075</v>
      </c>
      <c r="C29" s="31">
        <v>1200</v>
      </c>
      <c r="D29" s="31">
        <v>1000</v>
      </c>
      <c r="E29" s="31">
        <v>1150</v>
      </c>
      <c r="F29" s="31">
        <v>1000</v>
      </c>
      <c r="G29" s="31">
        <f t="shared" si="1"/>
        <v>4350</v>
      </c>
      <c r="H29" s="31">
        <f>+G29/(1+J$1)^A29</f>
        <v>4328.3312914720682</v>
      </c>
      <c r="I29" s="31">
        <f t="shared" si="2"/>
        <v>3644.2251036786743</v>
      </c>
      <c r="J29" s="31">
        <f t="shared" si="3"/>
        <v>109326.75311036022</v>
      </c>
      <c r="K29" s="31">
        <f t="shared" si="4"/>
        <v>269.44706249357716</v>
      </c>
      <c r="L29" s="32">
        <f t="shared" si="5"/>
        <v>108048.27205992445</v>
      </c>
      <c r="N29" s="115" t="s">
        <v>352</v>
      </c>
      <c r="O29" s="61"/>
      <c r="P29" s="40"/>
      <c r="Q29" s="40"/>
      <c r="R29" s="40"/>
      <c r="S29" s="40"/>
      <c r="T29" s="40"/>
      <c r="U29" s="70"/>
    </row>
    <row r="30" spans="1:21" ht="15" customHeight="1" x14ac:dyDescent="0.25">
      <c r="A30" s="28">
        <v>3</v>
      </c>
      <c r="B30" s="33">
        <v>44105</v>
      </c>
      <c r="C30" s="31">
        <v>1200</v>
      </c>
      <c r="D30" s="31">
        <v>1000</v>
      </c>
      <c r="E30" s="31">
        <v>1150</v>
      </c>
      <c r="F30" s="31">
        <v>1000</v>
      </c>
      <c r="G30" s="31">
        <f t="shared" si="1"/>
        <v>4350</v>
      </c>
      <c r="H30" s="31">
        <f t="shared" ref="H30:H58" si="6">+G30/(1+J$1)^A30</f>
        <v>4317.5374478524382</v>
      </c>
      <c r="I30" s="31">
        <f t="shared" si="2"/>
        <v>3644.2251036786743</v>
      </c>
      <c r="J30" s="31">
        <f t="shared" si="3"/>
        <v>105682.52800668155</v>
      </c>
      <c r="K30" s="31">
        <f t="shared" si="4"/>
        <v>259.24568014981111</v>
      </c>
      <c r="L30" s="32">
        <f t="shared" si="5"/>
        <v>103957.51774007425</v>
      </c>
      <c r="N30" s="115"/>
      <c r="O30" s="61"/>
      <c r="P30" s="40"/>
      <c r="Q30" s="40"/>
      <c r="R30" s="40"/>
      <c r="S30" s="40"/>
      <c r="T30" s="40"/>
      <c r="U30" s="70"/>
    </row>
    <row r="31" spans="1:21" x14ac:dyDescent="0.25">
      <c r="A31" s="28">
        <v>4</v>
      </c>
      <c r="B31" s="33">
        <v>44136</v>
      </c>
      <c r="C31" s="31">
        <v>1200</v>
      </c>
      <c r="D31" s="31">
        <v>1000</v>
      </c>
      <c r="E31" s="31">
        <v>1150</v>
      </c>
      <c r="F31" s="31">
        <v>1000</v>
      </c>
      <c r="G31" s="31">
        <f t="shared" si="1"/>
        <v>4350</v>
      </c>
      <c r="H31" s="31">
        <f t="shared" si="6"/>
        <v>4306.7705215485666</v>
      </c>
      <c r="I31" s="31">
        <f t="shared" si="2"/>
        <v>3644.2251036786743</v>
      </c>
      <c r="J31" s="31">
        <f t="shared" si="3"/>
        <v>102038.30290300287</v>
      </c>
      <c r="K31" s="31">
        <f t="shared" si="4"/>
        <v>249.01879435018563</v>
      </c>
      <c r="L31" s="32">
        <f t="shared" si="5"/>
        <v>99856.536534424435</v>
      </c>
      <c r="N31" s="115" t="s">
        <v>260</v>
      </c>
      <c r="O31" s="116" t="s">
        <v>106</v>
      </c>
      <c r="P31" s="40" t="s">
        <v>0</v>
      </c>
      <c r="Q31" s="40">
        <v>2241003</v>
      </c>
      <c r="R31" s="40"/>
      <c r="S31" s="40"/>
      <c r="T31" s="40" t="s">
        <v>349</v>
      </c>
      <c r="U31" s="70">
        <f>SUM(I27:I38)</f>
        <v>43730.701244144097</v>
      </c>
    </row>
    <row r="32" spans="1:21" x14ac:dyDescent="0.25">
      <c r="A32" s="28">
        <v>5</v>
      </c>
      <c r="B32" s="33">
        <v>44166</v>
      </c>
      <c r="C32" s="31">
        <v>1200</v>
      </c>
      <c r="D32" s="31">
        <v>1000</v>
      </c>
      <c r="E32" s="31">
        <v>1150</v>
      </c>
      <c r="F32" s="31">
        <v>1000</v>
      </c>
      <c r="G32" s="31">
        <f t="shared" si="1"/>
        <v>4350</v>
      </c>
      <c r="H32" s="31">
        <f t="shared" si="6"/>
        <v>4296.0304454349789</v>
      </c>
      <c r="I32" s="31">
        <f t="shared" si="2"/>
        <v>3644.2251036786743</v>
      </c>
      <c r="J32" s="31">
        <f t="shared" si="3"/>
        <v>98394.077799324194</v>
      </c>
      <c r="K32" s="31">
        <f t="shared" si="4"/>
        <v>238.76634133606109</v>
      </c>
      <c r="L32" s="32">
        <f t="shared" si="5"/>
        <v>95745.302875760492</v>
      </c>
      <c r="N32" s="60"/>
      <c r="O32" s="61"/>
      <c r="P32" s="40" t="s">
        <v>1</v>
      </c>
      <c r="Q32" s="40">
        <v>5312002</v>
      </c>
      <c r="R32" s="40">
        <v>7353</v>
      </c>
      <c r="S32" s="40"/>
      <c r="T32" s="40" t="s">
        <v>105</v>
      </c>
      <c r="U32" s="70">
        <f>U31</f>
        <v>43730.701244144097</v>
      </c>
    </row>
    <row r="33" spans="1:22" x14ac:dyDescent="0.25">
      <c r="A33" s="28">
        <v>6</v>
      </c>
      <c r="B33" s="33">
        <v>44197</v>
      </c>
      <c r="C33" s="31">
        <v>1200</v>
      </c>
      <c r="D33" s="31">
        <v>1000</v>
      </c>
      <c r="E33" s="31">
        <v>1150</v>
      </c>
      <c r="F33" s="31">
        <v>1000</v>
      </c>
      <c r="G33" s="31">
        <f t="shared" si="1"/>
        <v>4350</v>
      </c>
      <c r="H33" s="31">
        <f t="shared" si="6"/>
        <v>4285.3171525535954</v>
      </c>
      <c r="I33" s="31">
        <f t="shared" si="2"/>
        <v>3644.2251036786743</v>
      </c>
      <c r="J33" s="31">
        <f t="shared" si="3"/>
        <v>94749.852695645517</v>
      </c>
      <c r="K33" s="31">
        <f t="shared" si="4"/>
        <v>228.48825718940122</v>
      </c>
      <c r="L33" s="32">
        <f t="shared" si="5"/>
        <v>91623.791132949889</v>
      </c>
      <c r="N33" s="115" t="s">
        <v>188</v>
      </c>
      <c r="O33" s="61"/>
      <c r="P33" s="61"/>
      <c r="Q33" s="40"/>
      <c r="R33" s="40"/>
      <c r="S33" s="40"/>
      <c r="T33" s="40"/>
      <c r="U33" s="70"/>
    </row>
    <row r="34" spans="1:22" x14ac:dyDescent="0.25">
      <c r="A34" s="28">
        <v>7</v>
      </c>
      <c r="B34" s="33">
        <v>44228</v>
      </c>
      <c r="C34" s="31">
        <v>1200</v>
      </c>
      <c r="D34" s="31">
        <v>1000</v>
      </c>
      <c r="E34" s="31">
        <v>1150</v>
      </c>
      <c r="F34" s="31">
        <v>1000</v>
      </c>
      <c r="G34" s="31">
        <f t="shared" si="1"/>
        <v>4350</v>
      </c>
      <c r="H34" s="31">
        <f t="shared" si="6"/>
        <v>4274.6305761133126</v>
      </c>
      <c r="I34" s="31">
        <f t="shared" si="2"/>
        <v>3644.2251036786743</v>
      </c>
      <c r="J34" s="31">
        <f t="shared" si="3"/>
        <v>91105.627591966841</v>
      </c>
      <c r="K34" s="31">
        <f t="shared" si="4"/>
        <v>218.18447783237474</v>
      </c>
      <c r="L34" s="32">
        <f t="shared" si="5"/>
        <v>87491.975610782261</v>
      </c>
      <c r="N34" s="60"/>
      <c r="O34" s="61"/>
      <c r="P34" s="40"/>
      <c r="Q34" s="40"/>
      <c r="R34" s="40"/>
      <c r="S34" s="40"/>
      <c r="T34" s="40"/>
      <c r="U34" s="70"/>
    </row>
    <row r="35" spans="1:22" x14ac:dyDescent="0.25">
      <c r="A35" s="28">
        <v>8</v>
      </c>
      <c r="B35" s="33">
        <v>44256</v>
      </c>
      <c r="C35" s="31">
        <v>1200</v>
      </c>
      <c r="D35" s="31">
        <v>1000</v>
      </c>
      <c r="E35" s="31">
        <v>1150</v>
      </c>
      <c r="F35" s="31">
        <v>1000</v>
      </c>
      <c r="G35" s="31">
        <f t="shared" si="1"/>
        <v>4350</v>
      </c>
      <c r="H35" s="31">
        <f t="shared" si="6"/>
        <v>4263.9706494895881</v>
      </c>
      <c r="I35" s="31">
        <f t="shared" si="2"/>
        <v>3644.2251036786743</v>
      </c>
      <c r="J35" s="31">
        <f t="shared" si="3"/>
        <v>87461.402488288164</v>
      </c>
      <c r="K35" s="31">
        <f t="shared" si="4"/>
        <v>207.85493902695566</v>
      </c>
      <c r="L35" s="32">
        <f t="shared" si="5"/>
        <v>83349.830549809223</v>
      </c>
      <c r="N35" s="115" t="s">
        <v>112</v>
      </c>
      <c r="O35" s="116" t="s">
        <v>106</v>
      </c>
      <c r="P35" s="40" t="s">
        <v>0</v>
      </c>
      <c r="Q35" s="40">
        <v>3240106</v>
      </c>
      <c r="R35" s="40"/>
      <c r="S35" s="40"/>
      <c r="T35" s="40" t="s">
        <v>271</v>
      </c>
      <c r="U35" s="70">
        <f>U37-U36</f>
        <v>49398.26884876829</v>
      </c>
    </row>
    <row r="36" spans="1:22" x14ac:dyDescent="0.25">
      <c r="A36" s="28">
        <v>9</v>
      </c>
      <c r="B36" s="33">
        <v>44287</v>
      </c>
      <c r="C36" s="31">
        <v>1200</v>
      </c>
      <c r="D36" s="31">
        <v>1000</v>
      </c>
      <c r="E36" s="31">
        <v>1150</v>
      </c>
      <c r="F36" s="31">
        <v>1000</v>
      </c>
      <c r="G36" s="31">
        <f t="shared" si="1"/>
        <v>4350</v>
      </c>
      <c r="H36" s="31">
        <f t="shared" si="6"/>
        <v>4253.337306224028</v>
      </c>
      <c r="I36" s="31">
        <f t="shared" si="2"/>
        <v>3644.2251036786743</v>
      </c>
      <c r="J36" s="31">
        <f t="shared" si="3"/>
        <v>83817.177384609487</v>
      </c>
      <c r="K36" s="31">
        <f t="shared" si="4"/>
        <v>197.49957637452306</v>
      </c>
      <c r="L36" s="32">
        <f t="shared" si="5"/>
        <v>79197.330126183748</v>
      </c>
      <c r="N36" s="60"/>
      <c r="O36" s="61"/>
      <c r="P36" s="40" t="s">
        <v>0</v>
      </c>
      <c r="Q36" s="40">
        <v>2422020</v>
      </c>
      <c r="R36" s="40"/>
      <c r="S36" s="40"/>
      <c r="T36" s="40" t="s">
        <v>161</v>
      </c>
      <c r="U36" s="70">
        <f>SUM(K27:K38)</f>
        <v>2801.7311512317119</v>
      </c>
    </row>
    <row r="37" spans="1:22" x14ac:dyDescent="0.25">
      <c r="A37" s="28">
        <v>10</v>
      </c>
      <c r="B37" s="33">
        <v>44317</v>
      </c>
      <c r="C37" s="31">
        <v>1200</v>
      </c>
      <c r="D37" s="31">
        <v>1000</v>
      </c>
      <c r="E37" s="31">
        <v>1150</v>
      </c>
      <c r="F37" s="31">
        <v>1000</v>
      </c>
      <c r="G37" s="31">
        <f t="shared" si="1"/>
        <v>4350</v>
      </c>
      <c r="H37" s="31">
        <f t="shared" si="6"/>
        <v>4242.730480023969</v>
      </c>
      <c r="I37" s="31">
        <f t="shared" si="2"/>
        <v>3644.2251036786743</v>
      </c>
      <c r="J37" s="31">
        <f t="shared" si="3"/>
        <v>80172.952280930811</v>
      </c>
      <c r="K37" s="31">
        <f t="shared" si="4"/>
        <v>187.11832531545937</v>
      </c>
      <c r="L37" s="32">
        <f t="shared" si="5"/>
        <v>75034.448451499207</v>
      </c>
      <c r="N37" s="60"/>
      <c r="O37" s="61"/>
      <c r="P37" s="40" t="s">
        <v>1</v>
      </c>
      <c r="Q37" s="40"/>
      <c r="R37" s="40"/>
      <c r="S37" s="40"/>
      <c r="T37" s="40" t="s">
        <v>31</v>
      </c>
      <c r="U37" s="70">
        <f>SUM(G27:G38)</f>
        <v>52200</v>
      </c>
    </row>
    <row r="38" spans="1:22" ht="15.75" thickBot="1" x14ac:dyDescent="0.3">
      <c r="A38" s="28">
        <v>11</v>
      </c>
      <c r="B38" s="33">
        <v>44348</v>
      </c>
      <c r="C38" s="31">
        <v>1200</v>
      </c>
      <c r="D38" s="31">
        <v>1000</v>
      </c>
      <c r="E38" s="31">
        <v>1150</v>
      </c>
      <c r="F38" s="31">
        <v>1000</v>
      </c>
      <c r="G38" s="31">
        <f t="shared" si="1"/>
        <v>4350</v>
      </c>
      <c r="H38" s="31">
        <f>+G38/(1+J$1)^A38</f>
        <v>4232.1501047620641</v>
      </c>
      <c r="I38" s="31">
        <f t="shared" si="2"/>
        <v>3644.2251036786743</v>
      </c>
      <c r="J38" s="31">
        <f t="shared" si="3"/>
        <v>76528.727177252134</v>
      </c>
      <c r="K38" s="31">
        <f t="shared" si="4"/>
        <v>176.71112112874803</v>
      </c>
      <c r="L38" s="32">
        <f t="shared" si="5"/>
        <v>70861.159572627948</v>
      </c>
      <c r="N38" s="115" t="s">
        <v>119</v>
      </c>
      <c r="O38" s="61"/>
      <c r="P38" s="61"/>
      <c r="Q38" s="40"/>
      <c r="R38" s="40"/>
      <c r="S38" s="40"/>
      <c r="T38" s="40"/>
      <c r="U38" s="70"/>
    </row>
    <row r="39" spans="1:22" x14ac:dyDescent="0.25">
      <c r="A39" s="28">
        <v>12</v>
      </c>
      <c r="B39" s="33">
        <v>44378</v>
      </c>
      <c r="C39" s="31">
        <v>1200</v>
      </c>
      <c r="D39" s="31">
        <v>1000</v>
      </c>
      <c r="E39" s="31">
        <v>1150</v>
      </c>
      <c r="F39" s="31">
        <v>1000</v>
      </c>
      <c r="G39" s="31">
        <f t="shared" si="1"/>
        <v>4350</v>
      </c>
      <c r="H39" s="31">
        <f t="shared" si="6"/>
        <v>4221.5961144758739</v>
      </c>
      <c r="I39" s="31">
        <f t="shared" si="2"/>
        <v>3644.2251036786743</v>
      </c>
      <c r="J39" s="31">
        <f t="shared" si="3"/>
        <v>72884.502073573458</v>
      </c>
      <c r="K39" s="31">
        <f t="shared" si="4"/>
        <v>166.27789893156987</v>
      </c>
      <c r="L39" s="32">
        <f t="shared" si="5"/>
        <v>66677.437471559519</v>
      </c>
      <c r="N39" s="124" t="s">
        <v>205</v>
      </c>
      <c r="O39" s="125" t="s">
        <v>107</v>
      </c>
      <c r="P39" s="51" t="s">
        <v>0</v>
      </c>
      <c r="Q39" s="51">
        <v>2241003</v>
      </c>
      <c r="R39" s="51"/>
      <c r="S39" s="51"/>
      <c r="T39" s="51" t="s">
        <v>349</v>
      </c>
      <c r="U39" s="69">
        <f>SUM(I39:I50)</f>
        <v>43730.701244144097</v>
      </c>
    </row>
    <row r="40" spans="1:22" x14ac:dyDescent="0.25">
      <c r="A40" s="28">
        <v>13</v>
      </c>
      <c r="B40" s="33">
        <v>44409</v>
      </c>
      <c r="C40" s="31">
        <v>1200</v>
      </c>
      <c r="D40" s="31">
        <v>1000</v>
      </c>
      <c r="E40" s="31">
        <v>1150</v>
      </c>
      <c r="F40" s="31">
        <v>1000</v>
      </c>
      <c r="G40" s="31">
        <f t="shared" si="1"/>
        <v>4350</v>
      </c>
      <c r="H40" s="31">
        <f t="shared" si="6"/>
        <v>4211.0684433674551</v>
      </c>
      <c r="I40" s="31">
        <f t="shared" si="2"/>
        <v>3644.2251036786743</v>
      </c>
      <c r="J40" s="31">
        <f t="shared" si="3"/>
        <v>69240.276969894781</v>
      </c>
      <c r="K40" s="31">
        <f t="shared" si="4"/>
        <v>155.81859367889879</v>
      </c>
      <c r="L40" s="32">
        <f t="shared" si="5"/>
        <v>62483.25606523842</v>
      </c>
      <c r="N40" s="60"/>
      <c r="O40" s="61"/>
      <c r="P40" s="40" t="s">
        <v>1</v>
      </c>
      <c r="Q40" s="40">
        <v>5312002</v>
      </c>
      <c r="R40" s="40">
        <v>7353</v>
      </c>
      <c r="S40" s="40"/>
      <c r="T40" s="40" t="s">
        <v>105</v>
      </c>
      <c r="U40" s="70">
        <f>U39</f>
        <v>43730.701244144097</v>
      </c>
    </row>
    <row r="41" spans="1:22" x14ac:dyDescent="0.25">
      <c r="A41" s="28">
        <v>14</v>
      </c>
      <c r="B41" s="33">
        <v>44440</v>
      </c>
      <c r="C41" s="31">
        <v>1200</v>
      </c>
      <c r="D41" s="31">
        <v>1000</v>
      </c>
      <c r="E41" s="31">
        <v>1150</v>
      </c>
      <c r="F41" s="31">
        <v>1000</v>
      </c>
      <c r="G41" s="31">
        <f t="shared" si="1"/>
        <v>4350</v>
      </c>
      <c r="H41" s="31">
        <f t="shared" si="6"/>
        <v>4200.5670258029495</v>
      </c>
      <c r="I41" s="31">
        <f t="shared" si="2"/>
        <v>3644.2251036786743</v>
      </c>
      <c r="J41" s="31">
        <f t="shared" si="3"/>
        <v>65596.051866216105</v>
      </c>
      <c r="K41" s="31">
        <f t="shared" si="4"/>
        <v>145.33314016309606</v>
      </c>
      <c r="L41" s="32">
        <f t="shared" si="5"/>
        <v>58278.589205401513</v>
      </c>
      <c r="N41" s="115" t="s">
        <v>193</v>
      </c>
      <c r="O41" s="61"/>
      <c r="P41" s="40"/>
      <c r="Q41" s="40"/>
      <c r="R41" s="40"/>
      <c r="S41" s="40"/>
      <c r="T41" s="40"/>
      <c r="U41" s="70"/>
      <c r="V41" t="s">
        <v>348</v>
      </c>
    </row>
    <row r="42" spans="1:22" x14ac:dyDescent="0.25">
      <c r="A42" s="28">
        <v>15</v>
      </c>
      <c r="B42" s="33">
        <v>44470</v>
      </c>
      <c r="C42" s="31">
        <v>1200</v>
      </c>
      <c r="D42" s="31">
        <v>1000</v>
      </c>
      <c r="E42" s="31">
        <v>1150</v>
      </c>
      <c r="F42" s="31">
        <v>1000</v>
      </c>
      <c r="G42" s="31">
        <f t="shared" si="1"/>
        <v>4350</v>
      </c>
      <c r="H42" s="31">
        <f t="shared" si="6"/>
        <v>4190.0917963121692</v>
      </c>
      <c r="I42" s="31">
        <f t="shared" si="2"/>
        <v>3644.2251036786743</v>
      </c>
      <c r="J42" s="31">
        <f t="shared" si="3"/>
        <v>61951.826762537428</v>
      </c>
      <c r="K42" s="31">
        <f t="shared" si="4"/>
        <v>134.82147301350378</v>
      </c>
      <c r="L42" s="32">
        <f t="shared" si="5"/>
        <v>54063.410678415014</v>
      </c>
      <c r="N42" s="115"/>
      <c r="O42" s="61"/>
      <c r="P42" s="40"/>
      <c r="Q42" s="40"/>
      <c r="R42" s="40"/>
      <c r="S42" s="40"/>
      <c r="T42" s="40"/>
      <c r="U42" s="70"/>
    </row>
    <row r="43" spans="1:22" x14ac:dyDescent="0.25">
      <c r="A43" s="28">
        <v>16</v>
      </c>
      <c r="B43" s="33">
        <v>44501</v>
      </c>
      <c r="C43" s="31">
        <v>1200</v>
      </c>
      <c r="D43" s="31">
        <v>1000</v>
      </c>
      <c r="E43" s="31">
        <v>1150</v>
      </c>
      <c r="F43" s="31">
        <v>1000</v>
      </c>
      <c r="G43" s="31">
        <f t="shared" si="1"/>
        <v>4350</v>
      </c>
      <c r="H43" s="31">
        <f t="shared" si="6"/>
        <v>4179.6426895881978</v>
      </c>
      <c r="I43" s="31">
        <f t="shared" si="2"/>
        <v>3644.2251036786743</v>
      </c>
      <c r="J43" s="31">
        <f t="shared" si="3"/>
        <v>58307.601658858752</v>
      </c>
      <c r="K43" s="31">
        <f t="shared" si="4"/>
        <v>124.28352669603754</v>
      </c>
      <c r="L43" s="32">
        <f t="shared" si="5"/>
        <v>49837.694205111053</v>
      </c>
      <c r="N43" s="115" t="s">
        <v>114</v>
      </c>
      <c r="O43" s="116" t="s">
        <v>107</v>
      </c>
      <c r="P43" s="40" t="s">
        <v>0</v>
      </c>
      <c r="Q43" s="40">
        <v>3240106</v>
      </c>
      <c r="R43" s="40"/>
      <c r="S43" s="40"/>
      <c r="T43" s="40" t="s">
        <v>271</v>
      </c>
      <c r="U43" s="70">
        <f>U45-U44</f>
        <v>50900.764465674278</v>
      </c>
    </row>
    <row r="44" spans="1:22" x14ac:dyDescent="0.25">
      <c r="A44" s="28">
        <v>17</v>
      </c>
      <c r="B44" s="33">
        <v>44531</v>
      </c>
      <c r="C44" s="31">
        <v>1200</v>
      </c>
      <c r="D44" s="31">
        <v>1000</v>
      </c>
      <c r="E44" s="31">
        <v>1150</v>
      </c>
      <c r="F44" s="31">
        <v>1000</v>
      </c>
      <c r="G44" s="31">
        <f t="shared" si="1"/>
        <v>4350</v>
      </c>
      <c r="H44" s="31">
        <f t="shared" si="6"/>
        <v>4169.219640486981</v>
      </c>
      <c r="I44" s="31">
        <f t="shared" si="2"/>
        <v>3644.2251036786743</v>
      </c>
      <c r="J44" s="31">
        <f t="shared" si="3"/>
        <v>54663.376555180075</v>
      </c>
      <c r="K44" s="31">
        <f t="shared" si="4"/>
        <v>113.71923551277763</v>
      </c>
      <c r="L44" s="32">
        <f t="shared" si="5"/>
        <v>45601.41344062383</v>
      </c>
      <c r="N44" s="115"/>
      <c r="O44" s="61"/>
      <c r="P44" s="40" t="s">
        <v>0</v>
      </c>
      <c r="Q44" s="40">
        <v>2422020</v>
      </c>
      <c r="R44" s="40"/>
      <c r="S44" s="40"/>
      <c r="T44" s="40" t="s">
        <v>161</v>
      </c>
      <c r="U44" s="70">
        <f>SUM(K39:K50)</f>
        <v>1299.2355343257248</v>
      </c>
    </row>
    <row r="45" spans="1:22" x14ac:dyDescent="0.25">
      <c r="A45" s="28">
        <v>18</v>
      </c>
      <c r="B45" s="33">
        <v>44562</v>
      </c>
      <c r="C45" s="31">
        <v>1200</v>
      </c>
      <c r="D45" s="31">
        <v>1000</v>
      </c>
      <c r="E45" s="31">
        <v>1150</v>
      </c>
      <c r="F45" s="31">
        <v>1000</v>
      </c>
      <c r="G45" s="31">
        <f t="shared" si="1"/>
        <v>4350</v>
      </c>
      <c r="H45" s="31">
        <f t="shared" si="6"/>
        <v>4158.8225840269133</v>
      </c>
      <c r="I45" s="31">
        <f t="shared" si="2"/>
        <v>3644.2251036786743</v>
      </c>
      <c r="J45" s="31">
        <f t="shared" si="3"/>
        <v>51019.151451501399</v>
      </c>
      <c r="K45" s="31">
        <f t="shared" si="4"/>
        <v>103.12853360155958</v>
      </c>
      <c r="L45" s="32">
        <f t="shared" si="5"/>
        <v>41354.541974225387</v>
      </c>
      <c r="N45" s="115"/>
      <c r="O45" s="61"/>
      <c r="P45" s="40" t="s">
        <v>1</v>
      </c>
      <c r="Q45" s="40"/>
      <c r="R45" s="40"/>
      <c r="S45" s="40"/>
      <c r="T45" s="40" t="s">
        <v>31</v>
      </c>
      <c r="U45" s="70">
        <f>SUM(G39:G50)</f>
        <v>52200</v>
      </c>
    </row>
    <row r="46" spans="1:22" x14ac:dyDescent="0.25">
      <c r="A46" s="28">
        <v>19</v>
      </c>
      <c r="B46" s="33">
        <v>44593</v>
      </c>
      <c r="C46" s="31">
        <v>1200</v>
      </c>
      <c r="D46" s="31">
        <v>1000</v>
      </c>
      <c r="E46" s="31">
        <v>1150</v>
      </c>
      <c r="F46" s="31">
        <v>1000</v>
      </c>
      <c r="G46" s="31">
        <f t="shared" si="1"/>
        <v>4350</v>
      </c>
      <c r="H46" s="31">
        <f t="shared" si="6"/>
        <v>4148.4514553884428</v>
      </c>
      <c r="I46" s="31">
        <f t="shared" si="2"/>
        <v>3644.2251036786743</v>
      </c>
      <c r="J46" s="31">
        <f t="shared" si="3"/>
        <v>47374.926347822722</v>
      </c>
      <c r="K46" s="31">
        <f t="shared" si="4"/>
        <v>92.511354935563475</v>
      </c>
      <c r="L46" s="32">
        <f t="shared" si="5"/>
        <v>37097.053329160954</v>
      </c>
      <c r="N46" s="115" t="s">
        <v>121</v>
      </c>
      <c r="O46" s="61"/>
      <c r="P46" s="40"/>
      <c r="Q46" s="40"/>
      <c r="R46" s="40"/>
      <c r="S46" s="40"/>
      <c r="T46" s="40"/>
      <c r="U46" s="70"/>
    </row>
    <row r="47" spans="1:22" x14ac:dyDescent="0.25">
      <c r="A47" s="28">
        <v>20</v>
      </c>
      <c r="B47" s="33">
        <v>44621</v>
      </c>
      <c r="C47" s="31">
        <v>1200</v>
      </c>
      <c r="D47" s="31">
        <v>1000</v>
      </c>
      <c r="E47" s="31">
        <v>1150</v>
      </c>
      <c r="F47" s="31">
        <v>1000</v>
      </c>
      <c r="G47" s="31">
        <f t="shared" si="1"/>
        <v>4350</v>
      </c>
      <c r="H47" s="31">
        <f t="shared" si="6"/>
        <v>4138.1061899136585</v>
      </c>
      <c r="I47" s="31">
        <f t="shared" si="2"/>
        <v>3644.2251036786743</v>
      </c>
      <c r="J47" s="31">
        <f t="shared" si="3"/>
        <v>43730.701244144046</v>
      </c>
      <c r="K47" s="31">
        <f t="shared" si="4"/>
        <v>81.867633322902392</v>
      </c>
      <c r="L47" s="32">
        <f t="shared" si="5"/>
        <v>32828.920962483855</v>
      </c>
      <c r="N47" s="60"/>
      <c r="O47" s="61"/>
      <c r="P47" s="40"/>
      <c r="Q47" s="40"/>
      <c r="R47" s="40"/>
      <c r="S47" s="40"/>
      <c r="T47" s="40"/>
      <c r="U47" s="70"/>
    </row>
    <row r="48" spans="1:22" x14ac:dyDescent="0.25">
      <c r="A48" s="28">
        <v>21</v>
      </c>
      <c r="B48" s="33">
        <v>44652</v>
      </c>
      <c r="C48" s="31">
        <v>1200</v>
      </c>
      <c r="D48" s="31">
        <v>1000</v>
      </c>
      <c r="E48" s="31">
        <v>1150</v>
      </c>
      <c r="F48" s="31">
        <v>1000</v>
      </c>
      <c r="G48" s="31">
        <f t="shared" si="1"/>
        <v>4350</v>
      </c>
      <c r="H48" s="31">
        <f t="shared" si="6"/>
        <v>4127.7867231058945</v>
      </c>
      <c r="I48" s="31">
        <f t="shared" si="2"/>
        <v>3644.2251036786743</v>
      </c>
      <c r="J48" s="31">
        <f t="shared" si="3"/>
        <v>40086.476140465369</v>
      </c>
      <c r="K48" s="31">
        <f t="shared" si="4"/>
        <v>71.197302406209644</v>
      </c>
      <c r="L48" s="32">
        <f t="shared" si="5"/>
        <v>28550.118264890065</v>
      </c>
      <c r="N48" s="60"/>
      <c r="O48" s="61"/>
      <c r="P48" s="40"/>
      <c r="Q48" s="40"/>
      <c r="R48" s="40"/>
      <c r="S48" s="40"/>
      <c r="T48" s="40"/>
      <c r="U48" s="70"/>
    </row>
    <row r="49" spans="1:44" x14ac:dyDescent="0.25">
      <c r="A49" s="28">
        <v>22</v>
      </c>
      <c r="B49" s="33">
        <v>44682</v>
      </c>
      <c r="C49" s="31">
        <v>1200</v>
      </c>
      <c r="D49" s="31">
        <v>1000</v>
      </c>
      <c r="E49" s="31">
        <v>1150</v>
      </c>
      <c r="F49" s="31">
        <v>1000</v>
      </c>
      <c r="G49" s="31">
        <f t="shared" si="1"/>
        <v>4350</v>
      </c>
      <c r="H49" s="31">
        <f t="shared" si="6"/>
        <v>4117.4929906293219</v>
      </c>
      <c r="I49" s="31">
        <f t="shared" si="2"/>
        <v>3644.2251036786743</v>
      </c>
      <c r="J49" s="31">
        <f t="shared" si="3"/>
        <v>36442.251036786693</v>
      </c>
      <c r="K49" s="31">
        <f t="shared" si="4"/>
        <v>60.500295662225163</v>
      </c>
      <c r="L49" s="32">
        <f t="shared" si="5"/>
        <v>24260.618560552291</v>
      </c>
      <c r="N49" s="60"/>
      <c r="O49" s="61"/>
      <c r="P49" s="40"/>
      <c r="Q49" s="40"/>
      <c r="R49" s="40"/>
      <c r="S49" s="40"/>
      <c r="T49" s="40"/>
      <c r="U49" s="70"/>
    </row>
    <row r="50" spans="1:44" ht="15.75" thickBot="1" x14ac:dyDescent="0.3">
      <c r="A50" s="28">
        <v>23</v>
      </c>
      <c r="B50" s="33">
        <v>44713</v>
      </c>
      <c r="C50" s="31">
        <v>1200</v>
      </c>
      <c r="D50" s="31">
        <v>1000</v>
      </c>
      <c r="E50" s="31">
        <v>1150</v>
      </c>
      <c r="F50" s="31">
        <v>1000</v>
      </c>
      <c r="G50" s="31">
        <f t="shared" si="1"/>
        <v>4350</v>
      </c>
      <c r="H50" s="31">
        <f t="shared" si="6"/>
        <v>4107.2249283085503</v>
      </c>
      <c r="I50" s="31">
        <f t="shared" si="2"/>
        <v>3644.2251036786743</v>
      </c>
      <c r="J50" s="31">
        <f t="shared" si="3"/>
        <v>32798.025933108016</v>
      </c>
      <c r="K50" s="31">
        <f t="shared" si="4"/>
        <v>49.776546401380728</v>
      </c>
      <c r="L50" s="32">
        <f t="shared" si="5"/>
        <v>19960.395106953671</v>
      </c>
      <c r="N50" s="60"/>
      <c r="O50" s="61"/>
      <c r="P50" s="40"/>
      <c r="Q50" s="40"/>
      <c r="R50" s="40"/>
      <c r="S50" s="40"/>
      <c r="T50" s="40"/>
      <c r="U50" s="70"/>
    </row>
    <row r="51" spans="1:44" x14ac:dyDescent="0.25">
      <c r="A51" s="28">
        <v>24</v>
      </c>
      <c r="B51" s="33">
        <v>44743</v>
      </c>
      <c r="C51" s="31">
        <v>1200</v>
      </c>
      <c r="D51" s="31">
        <v>1000</v>
      </c>
      <c r="E51" s="31">
        <v>1150</v>
      </c>
      <c r="F51" s="31">
        <v>1000</v>
      </c>
      <c r="G51" s="31">
        <f t="shared" si="1"/>
        <v>4350</v>
      </c>
      <c r="H51" s="31">
        <f t="shared" si="6"/>
        <v>4096.9824721282303</v>
      </c>
      <c r="I51" s="31">
        <f t="shared" si="2"/>
        <v>3644.2251036786743</v>
      </c>
      <c r="J51" s="31">
        <f t="shared" si="3"/>
        <v>29153.800829429343</v>
      </c>
      <c r="K51" s="31">
        <f t="shared" si="4"/>
        <v>39.02598776738418</v>
      </c>
      <c r="L51" s="32">
        <f t="shared" si="5"/>
        <v>15649.421094721054</v>
      </c>
      <c r="N51" s="124" t="s">
        <v>116</v>
      </c>
      <c r="O51" s="125" t="s">
        <v>108</v>
      </c>
      <c r="P51" s="51" t="s">
        <v>0</v>
      </c>
      <c r="Q51" s="51">
        <v>2241003</v>
      </c>
      <c r="R51" s="51"/>
      <c r="S51" s="51"/>
      <c r="T51" s="51" t="s">
        <v>349</v>
      </c>
      <c r="U51" s="69">
        <f>SUM(I51:I59)</f>
        <v>32798.025933108067</v>
      </c>
    </row>
    <row r="52" spans="1:44" x14ac:dyDescent="0.25">
      <c r="A52" s="28">
        <v>25</v>
      </c>
      <c r="B52" s="33">
        <v>44774</v>
      </c>
      <c r="C52" s="31"/>
      <c r="D52" s="31">
        <v>1000</v>
      </c>
      <c r="E52" s="31">
        <v>1150</v>
      </c>
      <c r="F52" s="31">
        <v>1000</v>
      </c>
      <c r="G52" s="31">
        <f t="shared" si="1"/>
        <v>3150</v>
      </c>
      <c r="H52" s="31">
        <f t="shared" si="6"/>
        <v>2959.3819559615727</v>
      </c>
      <c r="I52" s="31">
        <f t="shared" si="2"/>
        <v>3644.2251036786743</v>
      </c>
      <c r="J52" s="31">
        <f t="shared" si="3"/>
        <v>25509.57572575067</v>
      </c>
      <c r="K52" s="31">
        <f t="shared" si="4"/>
        <v>31.248552736802637</v>
      </c>
      <c r="L52" s="32">
        <f t="shared" si="5"/>
        <v>12530.669647457857</v>
      </c>
      <c r="N52" s="60"/>
      <c r="O52" s="61"/>
      <c r="P52" s="40" t="s">
        <v>1</v>
      </c>
      <c r="Q52" s="40">
        <v>5312002</v>
      </c>
      <c r="R52" s="40">
        <v>7353</v>
      </c>
      <c r="S52" s="40"/>
      <c r="T52" s="40" t="s">
        <v>105</v>
      </c>
      <c r="U52" s="70">
        <f>U51</f>
        <v>32798.025933108067</v>
      </c>
    </row>
    <row r="53" spans="1:44" x14ac:dyDescent="0.25">
      <c r="A53" s="28">
        <v>26</v>
      </c>
      <c r="B53" s="33">
        <v>44805</v>
      </c>
      <c r="C53" s="33"/>
      <c r="D53" s="31">
        <v>1000</v>
      </c>
      <c r="E53" s="31">
        <v>1150</v>
      </c>
      <c r="F53" s="31">
        <v>1000</v>
      </c>
      <c r="G53" s="31">
        <f t="shared" si="1"/>
        <v>3150</v>
      </c>
      <c r="H53" s="31">
        <f t="shared" si="6"/>
        <v>2952.0019510838633</v>
      </c>
      <c r="I53" s="31">
        <f t="shared" si="2"/>
        <v>3644.2251036786743</v>
      </c>
      <c r="J53" s="31">
        <f t="shared" si="3"/>
        <v>21865.350622071997</v>
      </c>
      <c r="K53" s="31">
        <f t="shared" si="4"/>
        <v>23.451674118644643</v>
      </c>
      <c r="L53" s="32">
        <f t="shared" si="5"/>
        <v>9404.1213215765019</v>
      </c>
      <c r="N53" s="115" t="s">
        <v>190</v>
      </c>
      <c r="O53" s="61"/>
      <c r="P53" s="40"/>
      <c r="Q53" s="40"/>
      <c r="R53" s="40"/>
      <c r="S53" s="40"/>
      <c r="T53" s="40"/>
      <c r="U53" s="70"/>
    </row>
    <row r="54" spans="1:44" x14ac:dyDescent="0.25">
      <c r="A54" s="28">
        <v>27</v>
      </c>
      <c r="B54" s="33">
        <v>44835</v>
      </c>
      <c r="C54" s="33"/>
      <c r="D54" s="33"/>
      <c r="E54" s="31">
        <v>1150</v>
      </c>
      <c r="F54" s="31">
        <v>1000</v>
      </c>
      <c r="G54" s="31">
        <f t="shared" si="1"/>
        <v>2150</v>
      </c>
      <c r="H54" s="31">
        <f t="shared" si="6"/>
        <v>2009.8338898247418</v>
      </c>
      <c r="I54" s="31">
        <f t="shared" si="2"/>
        <v>3644.2251036786743</v>
      </c>
      <c r="J54" s="31">
        <f t="shared" si="3"/>
        <v>18221.125518393324</v>
      </c>
      <c r="K54" s="31">
        <f t="shared" si="4"/>
        <v>18.135303303941257</v>
      </c>
      <c r="L54" s="32">
        <f t="shared" si="5"/>
        <v>7272.2566248804433</v>
      </c>
      <c r="N54" s="115"/>
      <c r="O54" s="61"/>
      <c r="P54" s="40"/>
      <c r="Q54" s="40"/>
      <c r="R54" s="40"/>
      <c r="S54" s="40"/>
      <c r="T54" s="40"/>
      <c r="U54" s="70"/>
    </row>
    <row r="55" spans="1:44" x14ac:dyDescent="0.25">
      <c r="A55" s="28">
        <v>28</v>
      </c>
      <c r="B55" s="33">
        <v>44866</v>
      </c>
      <c r="C55" s="33"/>
      <c r="D55" s="33"/>
      <c r="E55" s="31">
        <v>1150</v>
      </c>
      <c r="F55" s="31">
        <v>1000</v>
      </c>
      <c r="G55" s="31">
        <f t="shared" si="1"/>
        <v>2150</v>
      </c>
      <c r="H55" s="31">
        <f t="shared" si="6"/>
        <v>2004.8218352366503</v>
      </c>
      <c r="I55" s="31">
        <f t="shared" si="2"/>
        <v>3644.2251036786743</v>
      </c>
      <c r="J55" s="31">
        <f t="shared" si="3"/>
        <v>14576.90041471465</v>
      </c>
      <c r="K55" s="31">
        <f t="shared" si="4"/>
        <v>12.805641562201108</v>
      </c>
      <c r="L55" s="32">
        <f t="shared" si="5"/>
        <v>5135.0622664426446</v>
      </c>
      <c r="N55" s="115" t="s">
        <v>118</v>
      </c>
      <c r="O55" s="116" t="s">
        <v>108</v>
      </c>
      <c r="P55" s="40" t="s">
        <v>0</v>
      </c>
      <c r="Q55" s="40">
        <v>3240106</v>
      </c>
      <c r="R55" s="40"/>
      <c r="S55" s="40"/>
      <c r="T55" s="40" t="s">
        <v>271</v>
      </c>
      <c r="U55" s="70">
        <f>U57-U56</f>
        <v>19960.395106953612</v>
      </c>
    </row>
    <row r="56" spans="1:44" x14ac:dyDescent="0.25">
      <c r="A56" s="28">
        <v>29</v>
      </c>
      <c r="B56" s="33">
        <v>44896</v>
      </c>
      <c r="C56" s="33"/>
      <c r="D56" s="33"/>
      <c r="E56" s="31">
        <v>1150</v>
      </c>
      <c r="F56" s="31">
        <v>1000</v>
      </c>
      <c r="G56" s="31">
        <f t="shared" si="1"/>
        <v>2150</v>
      </c>
      <c r="H56" s="31">
        <f t="shared" si="6"/>
        <v>1999.8222795378053</v>
      </c>
      <c r="I56" s="31">
        <f t="shared" si="2"/>
        <v>3644.2251036786743</v>
      </c>
      <c r="J56" s="31">
        <f t="shared" si="3"/>
        <v>10932.675311035975</v>
      </c>
      <c r="K56" s="31">
        <f t="shared" si="4"/>
        <v>7.4626556661066115</v>
      </c>
      <c r="L56" s="32">
        <f t="shared" si="5"/>
        <v>2992.5249221087511</v>
      </c>
      <c r="N56" s="115"/>
      <c r="O56" s="61"/>
      <c r="P56" s="40" t="s">
        <v>0</v>
      </c>
      <c r="Q56" s="40">
        <v>2422020</v>
      </c>
      <c r="R56" s="40"/>
      <c r="S56" s="40"/>
      <c r="T56" s="40" t="s">
        <v>161</v>
      </c>
      <c r="U56" s="70">
        <f>SUM(K51:K59)</f>
        <v>139.6048930463875</v>
      </c>
    </row>
    <row r="57" spans="1:44" x14ac:dyDescent="0.25">
      <c r="A57" s="28">
        <v>30</v>
      </c>
      <c r="B57" s="33">
        <v>44927</v>
      </c>
      <c r="C57" s="33"/>
      <c r="D57" s="33"/>
      <c r="E57" s="33"/>
      <c r="F57" s="31">
        <v>1000</v>
      </c>
      <c r="G57" s="31">
        <f t="shared" si="1"/>
        <v>1000</v>
      </c>
      <c r="H57" s="31">
        <f t="shared" si="6"/>
        <v>927.83032165530642</v>
      </c>
      <c r="I57" s="31">
        <f t="shared" si="2"/>
        <v>3644.2251036786743</v>
      </c>
      <c r="J57" s="31">
        <f t="shared" si="3"/>
        <v>7288.4502073573003</v>
      </c>
      <c r="K57" s="31">
        <f t="shared" si="4"/>
        <v>4.981312305271878</v>
      </c>
      <c r="L57" s="32">
        <f t="shared" si="5"/>
        <v>1997.5062344140229</v>
      </c>
      <c r="N57" s="115"/>
      <c r="O57" s="61"/>
      <c r="P57" s="40" t="s">
        <v>1</v>
      </c>
      <c r="Q57" s="40"/>
      <c r="R57" s="40"/>
      <c r="S57" s="40"/>
      <c r="T57" s="40" t="s">
        <v>31</v>
      </c>
      <c r="U57" s="70">
        <f>SUM(G51:G59)</f>
        <v>20100</v>
      </c>
    </row>
    <row r="58" spans="1:44" x14ac:dyDescent="0.25">
      <c r="A58" s="28">
        <v>31</v>
      </c>
      <c r="B58" s="33">
        <v>44958</v>
      </c>
      <c r="C58" s="33"/>
      <c r="D58" s="33"/>
      <c r="E58" s="33"/>
      <c r="F58" s="31">
        <v>1000</v>
      </c>
      <c r="G58" s="31">
        <f t="shared" si="1"/>
        <v>1000</v>
      </c>
      <c r="H58" s="31">
        <f t="shared" si="6"/>
        <v>925.51653032948286</v>
      </c>
      <c r="I58" s="31">
        <f t="shared" si="2"/>
        <v>3644.2251036786743</v>
      </c>
      <c r="J58" s="31">
        <f t="shared" si="3"/>
        <v>3644.2251036786261</v>
      </c>
      <c r="K58" s="31">
        <f t="shared" si="4"/>
        <v>2.4937655860350572</v>
      </c>
      <c r="L58" s="32">
        <f t="shared" si="5"/>
        <v>1000.0000000000579</v>
      </c>
      <c r="N58" s="115" t="s">
        <v>123</v>
      </c>
      <c r="O58" s="61"/>
      <c r="P58" s="40"/>
      <c r="Q58" s="40"/>
      <c r="R58" s="40"/>
      <c r="S58" s="40"/>
      <c r="T58" s="40"/>
      <c r="U58" s="70"/>
    </row>
    <row r="59" spans="1:44" x14ac:dyDescent="0.25">
      <c r="A59" s="28">
        <v>32</v>
      </c>
      <c r="B59" s="33">
        <v>44986</v>
      </c>
      <c r="C59" s="33"/>
      <c r="D59" s="33"/>
      <c r="E59" s="33"/>
      <c r="F59" s="31">
        <v>1000</v>
      </c>
      <c r="G59" s="31">
        <f t="shared" si="1"/>
        <v>1000</v>
      </c>
      <c r="H59" s="31">
        <f>+G59/(1+J$1)^A59</f>
        <v>923.20850905684051</v>
      </c>
      <c r="I59" s="31">
        <f t="shared" si="2"/>
        <v>3644.2251036786743</v>
      </c>
      <c r="J59" s="31">
        <f t="shared" si="3"/>
        <v>-4.8203219193965197E-11</v>
      </c>
      <c r="K59" s="31">
        <f t="shared" si="4"/>
        <v>1.4466650100075639E-13</v>
      </c>
      <c r="L59" s="32">
        <f t="shared" si="5"/>
        <v>5.8011266901303313E-11</v>
      </c>
      <c r="N59" s="115"/>
      <c r="O59" s="61"/>
      <c r="P59" s="40"/>
      <c r="Q59" s="40"/>
      <c r="R59" s="40"/>
      <c r="S59" s="40"/>
      <c r="T59" s="40"/>
      <c r="U59" s="70"/>
    </row>
    <row r="60" spans="1:44" x14ac:dyDescent="0.25">
      <c r="A60" s="28"/>
      <c r="B60" s="33"/>
      <c r="C60" s="33"/>
      <c r="D60" s="33"/>
      <c r="E60" s="33"/>
      <c r="F60" s="31"/>
      <c r="G60" s="30">
        <f>SUM(G27:G59)</f>
        <v>124500</v>
      </c>
      <c r="H60" s="30">
        <f t="shared" ref="H60:I60" si="7">SUM(H27:H59)</f>
        <v>120259.42842139625</v>
      </c>
      <c r="I60" s="30">
        <f t="shared" si="7"/>
        <v>120259.4284213963</v>
      </c>
      <c r="J60" s="30"/>
      <c r="K60" s="30">
        <f>SUM(K27:K59)</f>
        <v>4240.5715786038236</v>
      </c>
      <c r="L60" s="32"/>
      <c r="N60" s="60"/>
      <c r="O60" s="61"/>
      <c r="P60" s="40"/>
      <c r="Q60" s="40"/>
      <c r="R60" s="40"/>
      <c r="S60" s="40"/>
      <c r="T60" s="40"/>
      <c r="U60" s="70"/>
    </row>
    <row r="61" spans="1:44" x14ac:dyDescent="0.25">
      <c r="A61" s="28"/>
      <c r="B61" s="33"/>
      <c r="C61" s="33"/>
      <c r="D61" s="33"/>
      <c r="E61" s="33"/>
      <c r="F61" s="33"/>
      <c r="G61" s="31"/>
      <c r="H61" s="31"/>
      <c r="I61" s="31"/>
      <c r="J61" s="31"/>
      <c r="K61" s="31"/>
      <c r="L61" s="32"/>
      <c r="N61" s="60"/>
      <c r="O61" s="61"/>
      <c r="P61" s="40"/>
      <c r="Q61" s="40"/>
      <c r="R61" s="40"/>
      <c r="S61" s="40"/>
      <c r="T61" s="40"/>
      <c r="U61" s="70"/>
    </row>
    <row r="62" spans="1:44" ht="15.75" thickBot="1" x14ac:dyDescent="0.3">
      <c r="A62" s="35"/>
      <c r="B62" s="129"/>
      <c r="C62" s="129"/>
      <c r="D62" s="129"/>
      <c r="E62" s="129"/>
      <c r="F62" s="129"/>
      <c r="G62" s="130"/>
      <c r="H62" s="130"/>
      <c r="I62" s="130"/>
      <c r="J62" s="130"/>
      <c r="K62" s="130"/>
      <c r="L62" s="131"/>
      <c r="N62" s="62"/>
      <c r="O62" s="63"/>
      <c r="P62" s="47"/>
      <c r="Q62" s="47"/>
      <c r="R62" s="47"/>
      <c r="S62" s="47"/>
      <c r="T62" s="47"/>
      <c r="U62" s="73"/>
    </row>
    <row r="63" spans="1:44" ht="15.75" thickBot="1" x14ac:dyDescent="0.3">
      <c r="A63" s="29"/>
      <c r="B63" s="33"/>
      <c r="C63" s="33"/>
      <c r="D63" s="33"/>
      <c r="E63" s="33"/>
      <c r="F63" s="33"/>
      <c r="G63" s="31"/>
      <c r="H63" s="31"/>
      <c r="I63" s="31"/>
      <c r="J63" s="31"/>
      <c r="K63" s="31"/>
      <c r="L63" s="31"/>
      <c r="N63" s="197"/>
      <c r="O63" s="197"/>
      <c r="P63" s="184"/>
      <c r="Q63" s="184"/>
      <c r="R63" s="184"/>
      <c r="S63" s="184"/>
      <c r="T63" s="184"/>
      <c r="U63" s="75"/>
    </row>
    <row r="64" spans="1:44" x14ac:dyDescent="0.25">
      <c r="A64" s="332" t="s">
        <v>278</v>
      </c>
      <c r="B64" s="333"/>
      <c r="C64" s="333"/>
      <c r="D64" s="333"/>
      <c r="E64" s="333"/>
      <c r="F64" s="333"/>
      <c r="G64" s="333"/>
      <c r="H64" s="333"/>
      <c r="I64" s="333"/>
      <c r="J64" s="333"/>
      <c r="K64" s="333"/>
      <c r="L64" s="333"/>
      <c r="M64" s="333"/>
      <c r="N64" s="333"/>
      <c r="O64" s="333"/>
      <c r="P64" s="333"/>
      <c r="Q64" s="333"/>
      <c r="R64" s="333"/>
      <c r="S64" s="333"/>
      <c r="T64" s="333"/>
      <c r="U64" s="334"/>
      <c r="V64" s="190"/>
      <c r="W64" s="190"/>
      <c r="X64" s="190"/>
      <c r="Y64" s="190"/>
      <c r="Z64" s="190"/>
      <c r="AA64" s="190"/>
      <c r="AB64" s="190"/>
      <c r="AC64" s="190"/>
      <c r="AD64" s="190"/>
      <c r="AE64" s="190"/>
      <c r="AF64" s="190"/>
      <c r="AG64" s="190"/>
      <c r="AH64" s="190"/>
      <c r="AI64" s="190"/>
      <c r="AJ64" s="190"/>
      <c r="AK64" s="190"/>
      <c r="AL64" s="190"/>
      <c r="AM64" s="190"/>
      <c r="AN64" s="190"/>
      <c r="AO64" s="190"/>
      <c r="AP64" s="190"/>
      <c r="AQ64" s="190"/>
      <c r="AR64" s="190"/>
    </row>
    <row r="65" spans="1:44" ht="15" customHeight="1" x14ac:dyDescent="0.25">
      <c r="A65" s="317" t="s">
        <v>328</v>
      </c>
      <c r="B65" s="318"/>
      <c r="C65" s="318"/>
      <c r="D65" s="318"/>
      <c r="E65" s="318"/>
      <c r="F65" s="318"/>
      <c r="G65" s="318"/>
      <c r="H65" s="318"/>
      <c r="I65" s="318"/>
      <c r="J65" s="318"/>
      <c r="K65" s="318"/>
      <c r="L65" s="318"/>
      <c r="M65" s="318"/>
      <c r="N65" s="318"/>
      <c r="O65" s="318"/>
      <c r="P65" s="318"/>
      <c r="Q65" s="318"/>
      <c r="R65" s="318"/>
      <c r="S65" s="318"/>
      <c r="T65" s="318"/>
      <c r="U65" s="31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row>
    <row r="66" spans="1:44" ht="29.25" customHeight="1" x14ac:dyDescent="0.25">
      <c r="A66" s="317" t="s">
        <v>329</v>
      </c>
      <c r="B66" s="318"/>
      <c r="C66" s="318"/>
      <c r="D66" s="318"/>
      <c r="E66" s="318"/>
      <c r="F66" s="318"/>
      <c r="G66" s="318"/>
      <c r="H66" s="318"/>
      <c r="I66" s="318"/>
      <c r="J66" s="318"/>
      <c r="K66" s="318"/>
      <c r="L66" s="318"/>
      <c r="M66" s="318"/>
      <c r="N66" s="318"/>
      <c r="O66" s="318"/>
      <c r="P66" s="318"/>
      <c r="Q66" s="318"/>
      <c r="R66" s="318"/>
      <c r="S66" s="318"/>
      <c r="T66" s="318"/>
      <c r="U66" s="319"/>
      <c r="V66" s="199"/>
      <c r="W66" s="199"/>
      <c r="X66" s="199"/>
      <c r="Y66" s="199"/>
      <c r="Z66" s="199"/>
      <c r="AA66" s="199"/>
      <c r="AB66" s="199"/>
      <c r="AC66" s="199"/>
      <c r="AD66" s="199"/>
      <c r="AE66" s="199"/>
      <c r="AF66" s="199"/>
      <c r="AG66" s="199"/>
      <c r="AH66" s="199"/>
      <c r="AI66" s="199"/>
      <c r="AJ66" s="199"/>
      <c r="AK66" s="199"/>
      <c r="AL66" s="199"/>
      <c r="AM66" s="199"/>
      <c r="AN66" s="199"/>
      <c r="AO66" s="199"/>
      <c r="AP66" s="199"/>
      <c r="AQ66" s="199"/>
      <c r="AR66" s="199"/>
    </row>
    <row r="67" spans="1:44" ht="7.5" customHeight="1" thickBot="1" x14ac:dyDescent="0.3">
      <c r="A67" s="396"/>
      <c r="B67" s="397"/>
      <c r="C67" s="397"/>
      <c r="D67" s="397"/>
      <c r="E67" s="397"/>
      <c r="F67" s="397"/>
      <c r="G67" s="397"/>
      <c r="H67" s="397"/>
      <c r="I67" s="397"/>
      <c r="J67" s="397"/>
      <c r="K67" s="397"/>
      <c r="L67" s="397"/>
      <c r="M67" s="397"/>
      <c r="N67" s="397"/>
      <c r="O67" s="397"/>
      <c r="P67" s="397"/>
      <c r="Q67" s="397"/>
      <c r="R67" s="397"/>
      <c r="S67" s="397"/>
      <c r="T67" s="397"/>
      <c r="U67" s="398"/>
      <c r="V67" s="199"/>
      <c r="W67" s="199"/>
      <c r="X67" s="199"/>
      <c r="Y67" s="199"/>
      <c r="Z67" s="199"/>
      <c r="AA67" s="199"/>
      <c r="AB67" s="199"/>
      <c r="AC67" s="199"/>
      <c r="AD67" s="199"/>
      <c r="AE67" s="199"/>
      <c r="AF67" s="199"/>
      <c r="AG67" s="199"/>
      <c r="AH67" s="199"/>
      <c r="AI67" s="199"/>
      <c r="AJ67" s="199"/>
      <c r="AK67" s="199"/>
      <c r="AL67" s="199"/>
      <c r="AM67" s="199"/>
      <c r="AN67" s="199"/>
      <c r="AO67" s="199"/>
      <c r="AP67" s="199"/>
      <c r="AQ67" s="199"/>
      <c r="AR67" s="199"/>
    </row>
    <row r="68" spans="1:44" ht="15.75" customHeight="1" thickBot="1" x14ac:dyDescent="0.3">
      <c r="U68" s="31"/>
    </row>
    <row r="69" spans="1:44" ht="15.75" hidden="1" thickBot="1" x14ac:dyDescent="0.3">
      <c r="G69" s="72" t="e">
        <f>+#REF!/(72-6)</f>
        <v>#REF!</v>
      </c>
    </row>
    <row r="70" spans="1:44" ht="15.75" hidden="1" thickBot="1" x14ac:dyDescent="0.3"/>
    <row r="71" spans="1:44" s="107" customFormat="1" x14ac:dyDescent="0.25">
      <c r="A71" s="278" t="s">
        <v>223</v>
      </c>
      <c r="B71" s="279"/>
      <c r="C71" s="279"/>
      <c r="D71" s="279"/>
      <c r="E71" s="279"/>
      <c r="F71" s="279"/>
      <c r="G71" s="279"/>
      <c r="H71" s="279"/>
      <c r="I71" s="279"/>
      <c r="J71" s="279"/>
      <c r="K71" s="279"/>
      <c r="L71" s="279"/>
      <c r="M71" s="279"/>
      <c r="N71" s="279"/>
      <c r="O71" s="279"/>
      <c r="P71" s="279"/>
      <c r="Q71" s="279"/>
      <c r="R71" s="279"/>
      <c r="S71" s="279"/>
      <c r="T71" s="279"/>
      <c r="U71" s="280"/>
    </row>
    <row r="72" spans="1:44" s="107" customFormat="1" x14ac:dyDescent="0.25">
      <c r="A72" s="308" t="s">
        <v>241</v>
      </c>
      <c r="B72" s="309"/>
      <c r="C72" s="309"/>
      <c r="D72" s="309"/>
      <c r="E72" s="309"/>
      <c r="F72" s="309"/>
      <c r="G72" s="309"/>
      <c r="H72" s="309"/>
      <c r="I72" s="309"/>
      <c r="J72" s="309"/>
      <c r="K72" s="309"/>
      <c r="L72" s="309"/>
      <c r="M72" s="309"/>
      <c r="N72" s="309"/>
      <c r="O72" s="309"/>
      <c r="P72" s="309"/>
      <c r="Q72" s="309"/>
      <c r="R72" s="309"/>
      <c r="S72" s="309"/>
      <c r="T72" s="309"/>
      <c r="U72" s="310"/>
    </row>
    <row r="73" spans="1:44" s="107" customFormat="1" x14ac:dyDescent="0.25">
      <c r="A73" s="311"/>
      <c r="B73" s="312"/>
      <c r="C73" s="312"/>
      <c r="D73" s="312"/>
      <c r="E73" s="312"/>
      <c r="F73" s="312"/>
      <c r="G73" s="312"/>
      <c r="H73" s="312"/>
      <c r="I73" s="312"/>
      <c r="J73" s="312"/>
      <c r="K73" s="312"/>
      <c r="L73" s="312"/>
      <c r="M73" s="312"/>
      <c r="N73" s="312"/>
      <c r="O73" s="312"/>
      <c r="P73" s="312"/>
      <c r="Q73" s="312"/>
      <c r="R73" s="312"/>
      <c r="S73" s="312"/>
      <c r="T73" s="312"/>
      <c r="U73" s="313"/>
    </row>
    <row r="74" spans="1:44" x14ac:dyDescent="0.25">
      <c r="A74" s="299" t="s">
        <v>263</v>
      </c>
      <c r="B74" s="300"/>
      <c r="C74" s="300"/>
      <c r="D74" s="300"/>
      <c r="E74" s="300"/>
      <c r="F74" s="300"/>
      <c r="G74" s="300"/>
      <c r="H74" s="300"/>
      <c r="I74" s="300"/>
      <c r="J74" s="300"/>
      <c r="K74" s="300"/>
      <c r="L74" s="300"/>
      <c r="M74" s="300"/>
      <c r="N74" s="300"/>
      <c r="O74" s="300"/>
      <c r="P74" s="300"/>
      <c r="Q74" s="300"/>
      <c r="R74" s="300"/>
      <c r="S74" s="300"/>
      <c r="T74" s="300"/>
      <c r="U74" s="301"/>
    </row>
    <row r="75" spans="1:44" ht="47.25" customHeight="1" x14ac:dyDescent="0.25">
      <c r="A75" s="294" t="s">
        <v>264</v>
      </c>
      <c r="B75" s="295"/>
      <c r="C75" s="295"/>
      <c r="D75" s="295"/>
      <c r="E75" s="295"/>
      <c r="F75" s="295"/>
      <c r="G75" s="295"/>
      <c r="H75" s="295"/>
      <c r="I75" s="295"/>
      <c r="J75" s="295"/>
      <c r="K75" s="295"/>
      <c r="L75" s="295"/>
      <c r="M75" s="295"/>
      <c r="N75" s="295"/>
      <c r="O75" s="295"/>
      <c r="P75" s="295"/>
      <c r="Q75" s="295"/>
      <c r="R75" s="295"/>
      <c r="S75" s="295"/>
      <c r="T75" s="295"/>
      <c r="U75" s="296"/>
    </row>
    <row r="76" spans="1:44" ht="66.75" customHeight="1" x14ac:dyDescent="0.25">
      <c r="A76" s="294" t="s">
        <v>350</v>
      </c>
      <c r="B76" s="297"/>
      <c r="C76" s="297"/>
      <c r="D76" s="297"/>
      <c r="E76" s="297"/>
      <c r="F76" s="297"/>
      <c r="G76" s="297"/>
      <c r="H76" s="297"/>
      <c r="I76" s="297"/>
      <c r="J76" s="297"/>
      <c r="K76" s="297"/>
      <c r="L76" s="297"/>
      <c r="M76" s="297"/>
      <c r="N76" s="297"/>
      <c r="O76" s="297"/>
      <c r="P76" s="297"/>
      <c r="Q76" s="297"/>
      <c r="R76" s="297"/>
      <c r="S76" s="297"/>
      <c r="T76" s="297"/>
      <c r="U76" s="298"/>
    </row>
    <row r="77" spans="1:44" ht="21" customHeight="1" x14ac:dyDescent="0.25">
      <c r="A77" s="294" t="s">
        <v>262</v>
      </c>
      <c r="B77" s="297"/>
      <c r="C77" s="297"/>
      <c r="D77" s="297"/>
      <c r="E77" s="297"/>
      <c r="F77" s="297"/>
      <c r="G77" s="297"/>
      <c r="H77" s="297"/>
      <c r="I77" s="297"/>
      <c r="J77" s="297"/>
      <c r="K77" s="297"/>
      <c r="L77" s="297"/>
      <c r="M77" s="297"/>
      <c r="N77" s="297"/>
      <c r="O77" s="297"/>
      <c r="P77" s="297"/>
      <c r="Q77" s="297"/>
      <c r="R77" s="297"/>
      <c r="S77" s="297"/>
      <c r="T77" s="297"/>
      <c r="U77" s="298"/>
      <c r="V77" s="128"/>
      <c r="W77" s="127"/>
      <c r="X77" s="127"/>
      <c r="Y77" s="127"/>
      <c r="Z77" s="127"/>
      <c r="AA77" s="127"/>
      <c r="AB77" s="127"/>
      <c r="AC77" s="127"/>
      <c r="AD77" s="127"/>
      <c r="AE77" s="127"/>
      <c r="AF77" s="127"/>
      <c r="AG77" s="127"/>
      <c r="AH77" s="127"/>
      <c r="AI77" s="127"/>
      <c r="AJ77" s="127"/>
      <c r="AK77" s="127"/>
    </row>
    <row r="78" spans="1:44" ht="19.5" customHeight="1" x14ac:dyDescent="0.25">
      <c r="A78" s="294" t="s">
        <v>225</v>
      </c>
      <c r="B78" s="297"/>
      <c r="C78" s="297"/>
      <c r="D78" s="297"/>
      <c r="E78" s="297"/>
      <c r="F78" s="297"/>
      <c r="G78" s="297"/>
      <c r="H78" s="297"/>
      <c r="I78" s="297"/>
      <c r="J78" s="297"/>
      <c r="K78" s="297"/>
      <c r="L78" s="297"/>
      <c r="M78" s="297"/>
      <c r="N78" s="297"/>
      <c r="O78" s="297"/>
      <c r="P78" s="297"/>
      <c r="Q78" s="297"/>
      <c r="R78" s="297"/>
      <c r="S78" s="297"/>
      <c r="T78" s="297"/>
      <c r="U78" s="298"/>
      <c r="V78" s="128"/>
      <c r="W78" s="127"/>
      <c r="X78" s="127"/>
      <c r="Y78" s="127"/>
      <c r="Z78" s="127"/>
      <c r="AA78" s="127"/>
      <c r="AB78" s="127"/>
      <c r="AC78" s="127"/>
      <c r="AD78" s="127"/>
      <c r="AE78" s="127"/>
      <c r="AF78" s="127"/>
      <c r="AG78" s="127"/>
      <c r="AH78" s="127"/>
      <c r="AI78" s="127"/>
      <c r="AJ78" s="127"/>
      <c r="AK78" s="127"/>
    </row>
    <row r="79" spans="1:44" ht="21" customHeight="1" thickBot="1" x14ac:dyDescent="0.3">
      <c r="A79" s="314"/>
      <c r="B79" s="315"/>
      <c r="C79" s="315"/>
      <c r="D79" s="315"/>
      <c r="E79" s="315"/>
      <c r="F79" s="315"/>
      <c r="G79" s="315"/>
      <c r="H79" s="315"/>
      <c r="I79" s="315"/>
      <c r="J79" s="315"/>
      <c r="K79" s="315"/>
      <c r="L79" s="315"/>
      <c r="M79" s="315"/>
      <c r="N79" s="315"/>
      <c r="O79" s="315"/>
      <c r="P79" s="315"/>
      <c r="Q79" s="315"/>
      <c r="R79" s="315"/>
      <c r="S79" s="315"/>
      <c r="T79" s="315"/>
      <c r="U79" s="316"/>
    </row>
  </sheetData>
  <mergeCells count="22">
    <mergeCell ref="A8:U8"/>
    <mergeCell ref="A3:U3"/>
    <mergeCell ref="A4:U4"/>
    <mergeCell ref="A5:U5"/>
    <mergeCell ref="A7:U7"/>
    <mergeCell ref="O13:U13"/>
    <mergeCell ref="A71:U71"/>
    <mergeCell ref="A72:U72"/>
    <mergeCell ref="A10:L10"/>
    <mergeCell ref="N10:U10"/>
    <mergeCell ref="O12:U12"/>
    <mergeCell ref="A64:U64"/>
    <mergeCell ref="A65:U65"/>
    <mergeCell ref="A67:U67"/>
    <mergeCell ref="A66:U66"/>
    <mergeCell ref="A79:U79"/>
    <mergeCell ref="A77:U77"/>
    <mergeCell ref="A78:U78"/>
    <mergeCell ref="A73:U73"/>
    <mergeCell ref="A74:U74"/>
    <mergeCell ref="A75:U75"/>
    <mergeCell ref="A76:U76"/>
  </mergeCells>
  <pageMargins left="0.70866141732283472" right="0.70866141732283472" top="0.74803149606299213" bottom="0.74803149606299213" header="0.31496062992125984" footer="0.31496062992125984"/>
  <pageSetup paperSize="8" scale="77" orientation="portrait" cellComments="asDisplayed" r:id="rId1"/>
  <rowBreaks count="1" manualBreakCount="1">
    <brk id="79" max="20" man="1"/>
  </rowBreaks>
  <colBreaks count="1" manualBreakCount="1">
    <brk id="2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AU77"/>
  <sheetViews>
    <sheetView view="pageBreakPreview" topLeftCell="A51" zoomScaleNormal="100" zoomScaleSheetLayoutView="100" workbookViewId="0">
      <selection activeCell="A63" sqref="A63:AO63"/>
    </sheetView>
  </sheetViews>
  <sheetFormatPr defaultRowHeight="15" outlineLevelRow="1" outlineLevelCol="1" x14ac:dyDescent="0.25"/>
  <cols>
    <col min="1" max="1" width="2.85546875" customWidth="1"/>
    <col min="2" max="2" width="7.140625" customWidth="1"/>
    <col min="3" max="3" width="8.85546875" customWidth="1"/>
    <col min="4" max="4" width="4.7109375" style="210" customWidth="1"/>
    <col min="5" max="6" width="8.5703125" customWidth="1"/>
    <col min="7" max="7" width="7.42578125" customWidth="1"/>
    <col min="8" max="8" width="7.7109375" customWidth="1"/>
    <col min="9" max="9" width="8.140625" customWidth="1"/>
    <col min="10" max="10" width="7.7109375" customWidth="1"/>
    <col min="11" max="11" width="1" customWidth="1"/>
    <col min="12" max="12" width="2.85546875" customWidth="1" outlineLevel="1"/>
    <col min="13" max="13" width="7.140625" hidden="1" customWidth="1" outlineLevel="1"/>
    <col min="14" max="14" width="8.85546875" style="210" customWidth="1" outlineLevel="1"/>
    <col min="15" max="15" width="5" style="210" customWidth="1" outlineLevel="1"/>
    <col min="16" max="17" width="8.5703125" customWidth="1" outlineLevel="1"/>
    <col min="18" max="18" width="7.42578125" customWidth="1" outlineLevel="1"/>
    <col min="19" max="19" width="7.7109375" customWidth="1" outlineLevel="1"/>
    <col min="20" max="20" width="8.140625" customWidth="1" outlineLevel="1"/>
    <col min="21" max="21" width="7.7109375" customWidth="1" outlineLevel="1"/>
    <col min="22" max="22" width="0.5703125" customWidth="1"/>
    <col min="23" max="23" width="2.85546875" customWidth="1" outlineLevel="1"/>
    <col min="24" max="24" width="7.140625" hidden="1" customWidth="1" outlineLevel="1"/>
    <col min="25" max="25" width="8.85546875" style="210" customWidth="1" outlineLevel="1"/>
    <col min="26" max="26" width="5" style="210" customWidth="1" outlineLevel="1"/>
    <col min="27" max="28" width="8.5703125" customWidth="1" outlineLevel="1"/>
    <col min="29" max="29" width="7.42578125" customWidth="1" outlineLevel="1"/>
    <col min="30" max="30" width="7.7109375" customWidth="1" outlineLevel="1"/>
    <col min="31" max="31" width="8.140625" customWidth="1" outlineLevel="1"/>
    <col min="32" max="32" width="7.7109375" customWidth="1" outlineLevel="1"/>
    <col min="33" max="33" width="0.5703125" customWidth="1"/>
    <col min="34" max="34" width="2.7109375" style="1" customWidth="1"/>
    <col min="35" max="35" width="11.28515625" style="1" customWidth="1"/>
    <col min="36" max="36" width="3.42578125" customWidth="1"/>
    <col min="37" max="37" width="8" customWidth="1"/>
    <col min="38" max="38" width="6.42578125" customWidth="1"/>
    <col min="39" max="39" width="2.85546875" customWidth="1"/>
    <col min="40" max="40" width="20.85546875" customWidth="1"/>
    <col min="41" max="41" width="9.140625" style="72"/>
  </cols>
  <sheetData>
    <row r="1" spans="1:41" x14ac:dyDescent="0.25">
      <c r="A1" s="1" t="s">
        <v>129</v>
      </c>
      <c r="E1" s="1"/>
      <c r="H1" s="22">
        <v>2.5000000000000001E-3</v>
      </c>
      <c r="AI1" s="1" t="s">
        <v>358</v>
      </c>
    </row>
    <row r="2" spans="1:41" ht="5.25" customHeight="1" thickBot="1" x14ac:dyDescent="0.3"/>
    <row r="3" spans="1:41" ht="15.75" outlineLevel="1" x14ac:dyDescent="0.25">
      <c r="A3" s="411" t="s">
        <v>183</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c r="AG3" s="412"/>
      <c r="AH3" s="412"/>
      <c r="AI3" s="412"/>
      <c r="AJ3" s="412"/>
      <c r="AK3" s="412"/>
      <c r="AL3" s="412"/>
      <c r="AM3" s="412"/>
      <c r="AN3" s="412"/>
      <c r="AO3" s="413"/>
    </row>
    <row r="4" spans="1:41" outlineLevel="1" x14ac:dyDescent="0.25">
      <c r="A4" s="414" t="s">
        <v>356</v>
      </c>
      <c r="B4" s="415"/>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c r="AD4" s="415"/>
      <c r="AE4" s="415"/>
      <c r="AF4" s="415"/>
      <c r="AG4" s="415"/>
      <c r="AH4" s="415"/>
      <c r="AI4" s="415"/>
      <c r="AJ4" s="415"/>
      <c r="AK4" s="415"/>
      <c r="AL4" s="415"/>
      <c r="AM4" s="415"/>
      <c r="AN4" s="415"/>
      <c r="AO4" s="416"/>
    </row>
    <row r="5" spans="1:41" s="106" customFormat="1" outlineLevel="1" x14ac:dyDescent="0.25">
      <c r="A5" s="436" t="s">
        <v>424</v>
      </c>
      <c r="B5" s="437"/>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8"/>
    </row>
    <row r="6" spans="1:41" ht="15.75" outlineLevel="1" thickBot="1" x14ac:dyDescent="0.3">
      <c r="A6" s="417" t="s">
        <v>357</v>
      </c>
      <c r="B6" s="418"/>
      <c r="C6" s="418"/>
      <c r="D6" s="418"/>
      <c r="E6" s="418"/>
      <c r="F6" s="418"/>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8"/>
      <c r="AL6" s="418"/>
      <c r="AM6" s="418"/>
      <c r="AN6" s="418"/>
      <c r="AO6" s="419"/>
    </row>
    <row r="7" spans="1:41" ht="17.25" customHeight="1" thickBot="1" x14ac:dyDescent="0.3"/>
    <row r="8" spans="1:41" ht="15.75" thickBot="1" x14ac:dyDescent="0.3">
      <c r="A8" s="284" t="s">
        <v>199</v>
      </c>
      <c r="B8" s="285"/>
      <c r="C8" s="285"/>
      <c r="D8" s="285"/>
      <c r="E8" s="285"/>
      <c r="F8" s="285"/>
      <c r="G8" s="285"/>
      <c r="H8" s="285"/>
      <c r="I8" s="285"/>
      <c r="J8" s="286"/>
      <c r="K8" s="206"/>
      <c r="L8" s="284" t="s">
        <v>370</v>
      </c>
      <c r="M8" s="285"/>
      <c r="N8" s="285"/>
      <c r="O8" s="285"/>
      <c r="P8" s="285"/>
      <c r="Q8" s="285"/>
      <c r="R8" s="285"/>
      <c r="S8" s="285"/>
      <c r="T8" s="285"/>
      <c r="U8" s="286"/>
      <c r="V8" s="206"/>
      <c r="W8" s="284" t="s">
        <v>371</v>
      </c>
      <c r="X8" s="285"/>
      <c r="Y8" s="285"/>
      <c r="Z8" s="285"/>
      <c r="AA8" s="285"/>
      <c r="AB8" s="285"/>
      <c r="AC8" s="285"/>
      <c r="AD8" s="285"/>
      <c r="AE8" s="285"/>
      <c r="AF8" s="286"/>
      <c r="AG8" s="206"/>
      <c r="AH8" s="302" t="s">
        <v>185</v>
      </c>
      <c r="AI8" s="303"/>
      <c r="AJ8" s="303"/>
      <c r="AK8" s="303"/>
      <c r="AL8" s="303"/>
      <c r="AM8" s="303"/>
      <c r="AN8" s="303"/>
      <c r="AO8" s="304"/>
    </row>
    <row r="9" spans="1:41" s="1" customFormat="1" ht="58.5" customHeight="1" thickBot="1" x14ac:dyDescent="0.3">
      <c r="A9" s="24" t="s">
        <v>99</v>
      </c>
      <c r="B9" s="25" t="s">
        <v>98</v>
      </c>
      <c r="C9" s="26" t="s">
        <v>368</v>
      </c>
      <c r="D9" s="26" t="s">
        <v>369</v>
      </c>
      <c r="E9" s="26" t="s">
        <v>366</v>
      </c>
      <c r="F9" s="26" t="s">
        <v>367</v>
      </c>
      <c r="G9" s="26" t="s">
        <v>97</v>
      </c>
      <c r="H9" s="26" t="s">
        <v>96</v>
      </c>
      <c r="I9" s="26" t="s">
        <v>95</v>
      </c>
      <c r="J9" s="27" t="s">
        <v>104</v>
      </c>
      <c r="K9" s="74"/>
      <c r="L9" s="24" t="s">
        <v>99</v>
      </c>
      <c r="M9" s="25" t="s">
        <v>98</v>
      </c>
      <c r="N9" s="26" t="s">
        <v>368</v>
      </c>
      <c r="O9" s="26" t="s">
        <v>369</v>
      </c>
      <c r="P9" s="26" t="s">
        <v>366</v>
      </c>
      <c r="Q9" s="26" t="s">
        <v>367</v>
      </c>
      <c r="R9" s="26" t="s">
        <v>97</v>
      </c>
      <c r="S9" s="26" t="s">
        <v>96</v>
      </c>
      <c r="T9" s="26" t="s">
        <v>95</v>
      </c>
      <c r="U9" s="27" t="s">
        <v>104</v>
      </c>
      <c r="V9" s="74"/>
      <c r="W9" s="24" t="s">
        <v>99</v>
      </c>
      <c r="X9" s="25" t="s">
        <v>98</v>
      </c>
      <c r="Y9" s="26" t="s">
        <v>368</v>
      </c>
      <c r="Z9" s="26" t="s">
        <v>369</v>
      </c>
      <c r="AA9" s="26" t="s">
        <v>366</v>
      </c>
      <c r="AB9" s="26" t="s">
        <v>367</v>
      </c>
      <c r="AC9" s="26" t="s">
        <v>97</v>
      </c>
      <c r="AD9" s="26" t="s">
        <v>96</v>
      </c>
      <c r="AE9" s="26" t="s">
        <v>95</v>
      </c>
      <c r="AF9" s="27" t="s">
        <v>104</v>
      </c>
      <c r="AG9" s="74"/>
      <c r="AH9" s="78"/>
      <c r="AI9" s="79" t="s">
        <v>172</v>
      </c>
      <c r="AJ9" s="79"/>
      <c r="AK9" s="79" t="s">
        <v>168</v>
      </c>
      <c r="AL9" s="79" t="s">
        <v>169</v>
      </c>
      <c r="AM9" s="79" t="s">
        <v>152</v>
      </c>
      <c r="AN9" s="79" t="s">
        <v>170</v>
      </c>
      <c r="AO9" s="80" t="s">
        <v>171</v>
      </c>
    </row>
    <row r="10" spans="1:41" x14ac:dyDescent="0.25">
      <c r="A10" s="28">
        <v>0</v>
      </c>
      <c r="B10" s="33">
        <v>43647</v>
      </c>
      <c r="C10" s="31">
        <f>50000/12</f>
        <v>4166.666666666667</v>
      </c>
      <c r="D10" s="215">
        <v>0.6</v>
      </c>
      <c r="E10" s="31">
        <f>(+C10/D10)</f>
        <v>6944.4444444444453</v>
      </c>
      <c r="F10" s="31">
        <f>+E10/(1+H$1)^A10</f>
        <v>6944.4444444444453</v>
      </c>
      <c r="G10" s="31">
        <f t="shared" ref="G10:G21" si="0">+F$59/36</f>
        <v>6780.974054183489</v>
      </c>
      <c r="H10" s="31">
        <f>+F$59-G10</f>
        <v>237334.09189642212</v>
      </c>
      <c r="I10" s="31">
        <f>+(F$59-E10)*H$1</f>
        <v>592.9265537654029</v>
      </c>
      <c r="J10" s="32">
        <f>+F$59-E10+I10</f>
        <v>237763.54805992657</v>
      </c>
      <c r="K10" s="31"/>
      <c r="L10" s="28"/>
      <c r="M10" s="33"/>
      <c r="N10" s="211"/>
      <c r="O10" s="211"/>
      <c r="P10" s="31"/>
      <c r="Q10" s="31"/>
      <c r="R10" s="31"/>
      <c r="S10" s="31"/>
      <c r="T10" s="31"/>
      <c r="U10" s="32"/>
      <c r="V10" s="31"/>
      <c r="W10" s="28"/>
      <c r="X10" s="33"/>
      <c r="Y10" s="211"/>
      <c r="Z10" s="211"/>
      <c r="AA10" s="31"/>
      <c r="AB10" s="31"/>
      <c r="AC10" s="31"/>
      <c r="AD10" s="31"/>
      <c r="AE10" s="31"/>
      <c r="AF10" s="32"/>
      <c r="AG10" s="31"/>
      <c r="AH10" s="124" t="s">
        <v>109</v>
      </c>
      <c r="AI10" s="126">
        <v>43647</v>
      </c>
      <c r="AJ10" s="125" t="s">
        <v>0</v>
      </c>
      <c r="AK10" s="40">
        <v>5311002</v>
      </c>
      <c r="AL10" s="40">
        <v>7321</v>
      </c>
      <c r="AM10" s="40"/>
      <c r="AN10" s="40" t="s">
        <v>146</v>
      </c>
      <c r="AO10" s="70">
        <f>+F59</f>
        <v>244115.06595060561</v>
      </c>
    </row>
    <row r="11" spans="1:41" x14ac:dyDescent="0.25">
      <c r="A11" s="28">
        <v>1</v>
      </c>
      <c r="B11" s="33">
        <v>43678</v>
      </c>
      <c r="C11" s="31">
        <f t="shared" ref="C11:C21" si="1">50000/12</f>
        <v>4166.666666666667</v>
      </c>
      <c r="D11" s="215">
        <v>0.6</v>
      </c>
      <c r="E11" s="31">
        <f t="shared" ref="E11:E20" si="2">(+C11/D11)</f>
        <v>6944.4444444444453</v>
      </c>
      <c r="F11" s="31">
        <f>+E11/(1+H$1)^A11</f>
        <v>6927.1266278747589</v>
      </c>
      <c r="G11" s="31">
        <f t="shared" si="0"/>
        <v>6780.974054183489</v>
      </c>
      <c r="H11" s="31">
        <f t="shared" ref="H11:H21" si="3">+H10-G11</f>
        <v>230553.11784223863</v>
      </c>
      <c r="I11" s="31">
        <f>+(J10-E11)*H$1</f>
        <v>577.04775903870529</v>
      </c>
      <c r="J11" s="32">
        <f t="shared" ref="J11:J21" si="4">+J10-E11+I11</f>
        <v>231396.15137452085</v>
      </c>
      <c r="K11" s="31"/>
      <c r="L11" s="28"/>
      <c r="M11" s="33"/>
      <c r="N11" s="211"/>
      <c r="O11" s="211"/>
      <c r="P11" s="31"/>
      <c r="Q11" s="31"/>
      <c r="R11" s="31"/>
      <c r="S11" s="31"/>
      <c r="T11" s="31"/>
      <c r="U11" s="32"/>
      <c r="V11" s="31"/>
      <c r="W11" s="28"/>
      <c r="X11" s="33"/>
      <c r="Y11" s="211"/>
      <c r="Z11" s="211"/>
      <c r="AA11" s="31"/>
      <c r="AB11" s="31"/>
      <c r="AC11" s="31"/>
      <c r="AD11" s="31"/>
      <c r="AE11" s="31"/>
      <c r="AF11" s="32"/>
      <c r="AG11" s="31"/>
      <c r="AH11" s="115"/>
      <c r="AI11" s="116"/>
      <c r="AJ11" s="116" t="s">
        <v>1</v>
      </c>
      <c r="AK11" s="40">
        <v>3240102</v>
      </c>
      <c r="AL11" s="40"/>
      <c r="AM11" s="40"/>
      <c r="AN11" s="40" t="s">
        <v>270</v>
      </c>
      <c r="AO11" s="70">
        <f>AO10</f>
        <v>244115.06595060561</v>
      </c>
    </row>
    <row r="12" spans="1:41" x14ac:dyDescent="0.25">
      <c r="A12" s="28">
        <v>2</v>
      </c>
      <c r="B12" s="33">
        <v>43709</v>
      </c>
      <c r="C12" s="31">
        <f t="shared" si="1"/>
        <v>4166.666666666667</v>
      </c>
      <c r="D12" s="215">
        <v>0.6</v>
      </c>
      <c r="E12" s="31">
        <f t="shared" si="2"/>
        <v>6944.4444444444453</v>
      </c>
      <c r="F12" s="31">
        <f t="shared" ref="F12:F20" si="5">+E12/(1+H$1)^A12</f>
        <v>6909.8519978800587</v>
      </c>
      <c r="G12" s="31">
        <f t="shared" si="0"/>
        <v>6780.974054183489</v>
      </c>
      <c r="H12" s="31">
        <f>+H11-G12</f>
        <v>223772.14378805514</v>
      </c>
      <c r="I12" s="31">
        <f t="shared" ref="I12:I21" si="6">+(J11-E12)*H$1</f>
        <v>561.12926732519099</v>
      </c>
      <c r="J12" s="32">
        <f t="shared" si="4"/>
        <v>225012.8361974016</v>
      </c>
      <c r="K12" s="31"/>
      <c r="L12" s="28"/>
      <c r="M12" s="33"/>
      <c r="N12" s="211"/>
      <c r="O12" s="211"/>
      <c r="P12" s="31"/>
      <c r="Q12" s="31"/>
      <c r="R12" s="31"/>
      <c r="S12" s="31"/>
      <c r="T12" s="31"/>
      <c r="U12" s="32"/>
      <c r="V12" s="31"/>
      <c r="W12" s="28"/>
      <c r="X12" s="33"/>
      <c r="Y12" s="211"/>
      <c r="Z12" s="211"/>
      <c r="AA12" s="31"/>
      <c r="AB12" s="31"/>
      <c r="AC12" s="31"/>
      <c r="AD12" s="31"/>
      <c r="AE12" s="31"/>
      <c r="AF12" s="32"/>
      <c r="AG12" s="31"/>
      <c r="AH12" s="115" t="s">
        <v>372</v>
      </c>
      <c r="AI12" s="116"/>
      <c r="AJ12" s="116"/>
      <c r="AK12" s="40"/>
      <c r="AL12" s="40"/>
      <c r="AM12" s="40"/>
      <c r="AN12" s="40"/>
      <c r="AO12" s="70"/>
    </row>
    <row r="13" spans="1:41" ht="15" customHeight="1" x14ac:dyDescent="0.25">
      <c r="A13" s="28">
        <v>3</v>
      </c>
      <c r="B13" s="33">
        <v>43739</v>
      </c>
      <c r="C13" s="31">
        <f t="shared" si="1"/>
        <v>4166.666666666667</v>
      </c>
      <c r="D13" s="215">
        <v>0.6</v>
      </c>
      <c r="E13" s="31">
        <f t="shared" si="2"/>
        <v>6944.4444444444453</v>
      </c>
      <c r="F13" s="31">
        <f t="shared" si="5"/>
        <v>6892.6204467631524</v>
      </c>
      <c r="G13" s="31">
        <f t="shared" si="0"/>
        <v>6780.974054183489</v>
      </c>
      <c r="H13" s="31">
        <f>+H12-G13</f>
        <v>216991.16973387165</v>
      </c>
      <c r="I13" s="31">
        <f t="shared" si="6"/>
        <v>545.17097938239294</v>
      </c>
      <c r="J13" s="32">
        <f t="shared" si="4"/>
        <v>218613.56273233955</v>
      </c>
      <c r="K13" s="31"/>
      <c r="L13" s="28"/>
      <c r="M13" s="33"/>
      <c r="N13" s="211"/>
      <c r="O13" s="211"/>
      <c r="P13" s="31"/>
      <c r="Q13" s="31"/>
      <c r="R13" s="31"/>
      <c r="S13" s="31"/>
      <c r="T13" s="31"/>
      <c r="U13" s="32"/>
      <c r="V13" s="31"/>
      <c r="W13" s="28"/>
      <c r="X13" s="33"/>
      <c r="Y13" s="211"/>
      <c r="Z13" s="211"/>
      <c r="AA13" s="31"/>
      <c r="AB13" s="31"/>
      <c r="AC13" s="31"/>
      <c r="AD13" s="31"/>
      <c r="AE13" s="31"/>
      <c r="AF13" s="32"/>
      <c r="AG13" s="31"/>
      <c r="AH13" s="115"/>
      <c r="AI13" s="116"/>
      <c r="AJ13" s="116"/>
      <c r="AK13" s="40"/>
      <c r="AL13" s="40"/>
      <c r="AM13" s="40"/>
      <c r="AN13" s="40"/>
      <c r="AO13" s="70"/>
    </row>
    <row r="14" spans="1:41" x14ac:dyDescent="0.25">
      <c r="A14" s="28">
        <v>4</v>
      </c>
      <c r="B14" s="33">
        <v>43770</v>
      </c>
      <c r="C14" s="31">
        <f t="shared" si="1"/>
        <v>4166.666666666667</v>
      </c>
      <c r="D14" s="215">
        <v>0.6</v>
      </c>
      <c r="E14" s="31">
        <f t="shared" si="2"/>
        <v>6944.4444444444453</v>
      </c>
      <c r="F14" s="31">
        <f t="shared" si="5"/>
        <v>6875.4318670954135</v>
      </c>
      <c r="G14" s="31">
        <f t="shared" si="0"/>
        <v>6780.974054183489</v>
      </c>
      <c r="H14" s="31">
        <f t="shared" si="3"/>
        <v>210210.19567968816</v>
      </c>
      <c r="I14" s="31">
        <f t="shared" si="6"/>
        <v>529.17279571973779</v>
      </c>
      <c r="J14" s="32">
        <f t="shared" si="4"/>
        <v>212198.29108361484</v>
      </c>
      <c r="K14" s="31"/>
      <c r="L14" s="28"/>
      <c r="M14" s="33"/>
      <c r="N14" s="211"/>
      <c r="O14" s="211"/>
      <c r="P14" s="31"/>
      <c r="Q14" s="31"/>
      <c r="R14" s="31"/>
      <c r="S14" s="31"/>
      <c r="T14" s="31"/>
      <c r="U14" s="32"/>
      <c r="V14" s="31"/>
      <c r="W14" s="28"/>
      <c r="X14" s="33"/>
      <c r="Y14" s="211"/>
      <c r="Z14" s="211"/>
      <c r="AA14" s="31"/>
      <c r="AB14" s="31"/>
      <c r="AC14" s="31"/>
      <c r="AD14" s="31"/>
      <c r="AE14" s="31"/>
      <c r="AF14" s="32"/>
      <c r="AG14" s="31"/>
      <c r="AH14" s="115" t="s">
        <v>110</v>
      </c>
      <c r="AI14" s="116" t="s">
        <v>32</v>
      </c>
      <c r="AJ14" s="116" t="s">
        <v>0</v>
      </c>
      <c r="AK14" s="40">
        <v>2241002</v>
      </c>
      <c r="AL14" s="40"/>
      <c r="AM14" s="40"/>
      <c r="AN14" s="40" t="s">
        <v>251</v>
      </c>
      <c r="AO14" s="70">
        <f>SUM(G10:G21)</f>
        <v>81371.688650201875</v>
      </c>
    </row>
    <row r="15" spans="1:41" x14ac:dyDescent="0.25">
      <c r="A15" s="28">
        <v>5</v>
      </c>
      <c r="B15" s="33">
        <v>43800</v>
      </c>
      <c r="C15" s="31">
        <f t="shared" si="1"/>
        <v>4166.666666666667</v>
      </c>
      <c r="D15" s="215">
        <v>0.6</v>
      </c>
      <c r="E15" s="31">
        <f t="shared" si="2"/>
        <v>6944.4444444444453</v>
      </c>
      <c r="F15" s="31">
        <f>+E15/(1+H$1)^A15</f>
        <v>6858.2861517161227</v>
      </c>
      <c r="G15" s="31">
        <f t="shared" si="0"/>
        <v>6780.974054183489</v>
      </c>
      <c r="H15" s="31">
        <f t="shared" si="3"/>
        <v>203429.22162550467</v>
      </c>
      <c r="I15" s="31">
        <f t="shared" si="6"/>
        <v>513.13461659792597</v>
      </c>
      <c r="J15" s="32">
        <f t="shared" si="4"/>
        <v>205766.98125576833</v>
      </c>
      <c r="K15" s="31"/>
      <c r="L15" s="28"/>
      <c r="M15" s="33"/>
      <c r="N15" s="211"/>
      <c r="O15" s="211"/>
      <c r="P15" s="31"/>
      <c r="Q15" s="31"/>
      <c r="R15" s="31"/>
      <c r="S15" s="31"/>
      <c r="T15" s="31"/>
      <c r="U15" s="32"/>
      <c r="V15" s="31"/>
      <c r="W15" s="28"/>
      <c r="X15" s="33"/>
      <c r="Y15" s="211"/>
      <c r="Z15" s="211"/>
      <c r="AA15" s="31"/>
      <c r="AB15" s="31"/>
      <c r="AC15" s="31"/>
      <c r="AD15" s="31"/>
      <c r="AE15" s="31"/>
      <c r="AF15" s="32"/>
      <c r="AG15" s="31"/>
      <c r="AH15" s="115"/>
      <c r="AI15" s="116"/>
      <c r="AJ15" s="116" t="s">
        <v>1</v>
      </c>
      <c r="AK15" s="40">
        <v>5311002</v>
      </c>
      <c r="AL15" s="40">
        <v>7353</v>
      </c>
      <c r="AM15" s="40"/>
      <c r="AN15" s="40" t="s">
        <v>105</v>
      </c>
      <c r="AO15" s="70">
        <f>AO14</f>
        <v>81371.688650201875</v>
      </c>
    </row>
    <row r="16" spans="1:41" x14ac:dyDescent="0.25">
      <c r="A16" s="28">
        <v>6</v>
      </c>
      <c r="B16" s="33">
        <v>43831</v>
      </c>
      <c r="C16" s="31">
        <f t="shared" si="1"/>
        <v>4166.666666666667</v>
      </c>
      <c r="D16" s="215">
        <v>0.6</v>
      </c>
      <c r="E16" s="31">
        <f t="shared" si="2"/>
        <v>6944.4444444444453</v>
      </c>
      <c r="F16" s="31">
        <f t="shared" si="5"/>
        <v>6841.1831937317947</v>
      </c>
      <c r="G16" s="31">
        <f t="shared" si="0"/>
        <v>6780.974054183489</v>
      </c>
      <c r="H16" s="31">
        <f t="shared" si="3"/>
        <v>196648.24757132118</v>
      </c>
      <c r="I16" s="31">
        <f t="shared" si="6"/>
        <v>497.05634202830976</v>
      </c>
      <c r="J16" s="32">
        <f t="shared" si="4"/>
        <v>199319.59315335221</v>
      </c>
      <c r="K16" s="31"/>
      <c r="L16" s="28"/>
      <c r="M16" s="33"/>
      <c r="N16" s="211"/>
      <c r="O16" s="211"/>
      <c r="P16" s="31"/>
      <c r="Q16" s="31"/>
      <c r="R16" s="31"/>
      <c r="S16" s="31"/>
      <c r="T16" s="31"/>
      <c r="U16" s="32"/>
      <c r="V16" s="31"/>
      <c r="W16" s="28"/>
      <c r="X16" s="33"/>
      <c r="Y16" s="211"/>
      <c r="Z16" s="211"/>
      <c r="AA16" s="31"/>
      <c r="AB16" s="31"/>
      <c r="AC16" s="31"/>
      <c r="AD16" s="31"/>
      <c r="AE16" s="31"/>
      <c r="AF16" s="32"/>
      <c r="AG16" s="31"/>
      <c r="AH16" s="115" t="s">
        <v>187</v>
      </c>
      <c r="AI16" s="116"/>
      <c r="AJ16" s="116"/>
      <c r="AK16" s="40"/>
      <c r="AL16" s="40"/>
      <c r="AM16" s="40"/>
      <c r="AN16" s="40"/>
      <c r="AO16" s="70"/>
    </row>
    <row r="17" spans="1:47" x14ac:dyDescent="0.25">
      <c r="A17" s="28">
        <v>7</v>
      </c>
      <c r="B17" s="33">
        <v>43862</v>
      </c>
      <c r="C17" s="31">
        <f t="shared" si="1"/>
        <v>4166.666666666667</v>
      </c>
      <c r="D17" s="215">
        <v>0.6</v>
      </c>
      <c r="E17" s="31">
        <f t="shared" si="2"/>
        <v>6944.4444444444453</v>
      </c>
      <c r="F17" s="31">
        <f t="shared" si="5"/>
        <v>6824.1228865155063</v>
      </c>
      <c r="G17" s="31">
        <f t="shared" si="0"/>
        <v>6780.974054183489</v>
      </c>
      <c r="H17" s="31">
        <f t="shared" si="3"/>
        <v>189867.27351713768</v>
      </c>
      <c r="I17" s="31">
        <f t="shared" si="6"/>
        <v>480.93787177226943</v>
      </c>
      <c r="J17" s="32">
        <f t="shared" si="4"/>
        <v>192856.08658068004</v>
      </c>
      <c r="K17" s="31"/>
      <c r="L17" s="28"/>
      <c r="M17" s="33"/>
      <c r="N17" s="211"/>
      <c r="O17" s="211"/>
      <c r="P17" s="31"/>
      <c r="Q17" s="31"/>
      <c r="R17" s="31"/>
      <c r="S17" s="31"/>
      <c r="T17" s="31"/>
      <c r="U17" s="32"/>
      <c r="V17" s="31"/>
      <c r="W17" s="28"/>
      <c r="X17" s="33"/>
      <c r="Y17" s="211"/>
      <c r="Z17" s="211"/>
      <c r="AA17" s="31"/>
      <c r="AB17" s="31"/>
      <c r="AC17" s="31"/>
      <c r="AD17" s="31"/>
      <c r="AE17" s="31"/>
      <c r="AF17" s="32"/>
      <c r="AG17" s="31"/>
      <c r="AH17" s="115"/>
      <c r="AI17" s="116"/>
      <c r="AJ17" s="116"/>
      <c r="AK17" s="40"/>
      <c r="AL17" s="40"/>
      <c r="AM17" s="40"/>
      <c r="AN17" s="40"/>
      <c r="AO17" s="70"/>
    </row>
    <row r="18" spans="1:47" x14ac:dyDescent="0.25">
      <c r="A18" s="28">
        <v>8</v>
      </c>
      <c r="B18" s="33">
        <v>43891</v>
      </c>
      <c r="C18" s="31">
        <f t="shared" si="1"/>
        <v>4166.666666666667</v>
      </c>
      <c r="D18" s="215">
        <v>0.6</v>
      </c>
      <c r="E18" s="31">
        <f t="shared" si="2"/>
        <v>6944.4444444444453</v>
      </c>
      <c r="F18" s="31">
        <f t="shared" si="5"/>
        <v>6807.1051237062402</v>
      </c>
      <c r="G18" s="31">
        <f t="shared" si="0"/>
        <v>6780.974054183489</v>
      </c>
      <c r="H18" s="31">
        <f t="shared" si="3"/>
        <v>183086.29946295419</v>
      </c>
      <c r="I18" s="31">
        <f t="shared" si="6"/>
        <v>464.77910534058901</v>
      </c>
      <c r="J18" s="32">
        <f t="shared" si="4"/>
        <v>186376.4212415762</v>
      </c>
      <c r="K18" s="31"/>
      <c r="L18" s="28"/>
      <c r="M18" s="33"/>
      <c r="N18" s="211"/>
      <c r="O18" s="211"/>
      <c r="P18" s="31"/>
      <c r="Q18" s="31"/>
      <c r="R18" s="31"/>
      <c r="S18" s="31"/>
      <c r="T18" s="31"/>
      <c r="U18" s="32"/>
      <c r="V18" s="31"/>
      <c r="W18" s="28"/>
      <c r="X18" s="33"/>
      <c r="Y18" s="211"/>
      <c r="Z18" s="211"/>
      <c r="AA18" s="31"/>
      <c r="AB18" s="31"/>
      <c r="AC18" s="31"/>
      <c r="AD18" s="31"/>
      <c r="AE18" s="31"/>
      <c r="AF18" s="32"/>
      <c r="AG18" s="31"/>
      <c r="AH18" s="115" t="s">
        <v>111</v>
      </c>
      <c r="AI18" s="116" t="s">
        <v>32</v>
      </c>
      <c r="AJ18" s="116" t="s">
        <v>0</v>
      </c>
      <c r="AK18" s="40">
        <v>3240106</v>
      </c>
      <c r="AL18" s="40"/>
      <c r="AM18" s="40"/>
      <c r="AN18" s="40" t="s">
        <v>271</v>
      </c>
      <c r="AO18" s="70">
        <f>SUM(E10:E21)-SUM(I10:I21)</f>
        <v>77274.997799305856</v>
      </c>
    </row>
    <row r="19" spans="1:47" x14ac:dyDescent="0.25">
      <c r="A19" s="28">
        <v>9</v>
      </c>
      <c r="B19" s="33">
        <v>43922</v>
      </c>
      <c r="C19" s="31">
        <f t="shared" si="1"/>
        <v>4166.666666666667</v>
      </c>
      <c r="D19" s="215">
        <v>0.6</v>
      </c>
      <c r="E19" s="31">
        <f t="shared" si="2"/>
        <v>6944.4444444444453</v>
      </c>
      <c r="F19" s="31">
        <f t="shared" si="5"/>
        <v>6790.12979920822</v>
      </c>
      <c r="G19" s="31">
        <f t="shared" si="0"/>
        <v>6780.974054183489</v>
      </c>
      <c r="H19" s="31">
        <f t="shared" si="3"/>
        <v>176305.3254087707</v>
      </c>
      <c r="I19" s="31">
        <f t="shared" si="6"/>
        <v>448.57994199282939</v>
      </c>
      <c r="J19" s="32">
        <f t="shared" si="4"/>
        <v>179880.55673912459</v>
      </c>
      <c r="K19" s="31"/>
      <c r="L19" s="28"/>
      <c r="M19" s="33"/>
      <c r="N19" s="211"/>
      <c r="O19" s="211"/>
      <c r="P19" s="31"/>
      <c r="Q19" s="31"/>
      <c r="R19" s="31"/>
      <c r="S19" s="31"/>
      <c r="T19" s="31"/>
      <c r="U19" s="32"/>
      <c r="V19" s="31"/>
      <c r="W19" s="28"/>
      <c r="X19" s="33"/>
      <c r="Y19" s="211"/>
      <c r="Z19" s="211"/>
      <c r="AA19" s="31"/>
      <c r="AB19" s="31"/>
      <c r="AC19" s="31"/>
      <c r="AD19" s="31"/>
      <c r="AE19" s="31"/>
      <c r="AF19" s="32"/>
      <c r="AG19" s="31"/>
      <c r="AH19" s="115"/>
      <c r="AI19" s="116"/>
      <c r="AJ19" s="116" t="s">
        <v>0</v>
      </c>
      <c r="AK19" s="40">
        <v>2422020</v>
      </c>
      <c r="AL19" s="40"/>
      <c r="AM19" s="40"/>
      <c r="AN19" s="40" t="s">
        <v>161</v>
      </c>
      <c r="AO19" s="70">
        <f>SUM(I10:I21)</f>
        <v>6058.3355340274838</v>
      </c>
    </row>
    <row r="20" spans="1:47" x14ac:dyDescent="0.25">
      <c r="A20" s="28">
        <v>10</v>
      </c>
      <c r="B20" s="33">
        <v>43952</v>
      </c>
      <c r="C20" s="31">
        <f t="shared" si="1"/>
        <v>4166.666666666667</v>
      </c>
      <c r="D20" s="215">
        <v>0.6</v>
      </c>
      <c r="E20" s="31">
        <f t="shared" si="2"/>
        <v>6944.4444444444453</v>
      </c>
      <c r="F20" s="31">
        <f t="shared" si="5"/>
        <v>6773.1968071902447</v>
      </c>
      <c r="G20" s="31">
        <f t="shared" si="0"/>
        <v>6780.974054183489</v>
      </c>
      <c r="H20" s="31">
        <f t="shared" si="3"/>
        <v>169524.35135458721</v>
      </c>
      <c r="I20" s="31">
        <f t="shared" si="6"/>
        <v>432.34028073670038</v>
      </c>
      <c r="J20" s="32">
        <f t="shared" si="4"/>
        <v>173368.45257541686</v>
      </c>
      <c r="K20" s="31"/>
      <c r="L20" s="28"/>
      <c r="M20" s="33"/>
      <c r="N20" s="211"/>
      <c r="O20" s="211"/>
      <c r="P20" s="31"/>
      <c r="Q20" s="31"/>
      <c r="R20" s="31"/>
      <c r="S20" s="31"/>
      <c r="T20" s="31"/>
      <c r="U20" s="32"/>
      <c r="V20" s="31"/>
      <c r="W20" s="28"/>
      <c r="X20" s="33"/>
      <c r="Y20" s="211"/>
      <c r="Z20" s="211"/>
      <c r="AA20" s="31"/>
      <c r="AB20" s="31"/>
      <c r="AC20" s="31"/>
      <c r="AD20" s="31"/>
      <c r="AE20" s="31"/>
      <c r="AF20" s="32"/>
      <c r="AG20" s="31"/>
      <c r="AH20" s="115"/>
      <c r="AI20" s="116"/>
      <c r="AJ20" s="116" t="s">
        <v>1</v>
      </c>
      <c r="AK20" s="40"/>
      <c r="AL20" s="40"/>
      <c r="AM20" s="40"/>
      <c r="AN20" s="40" t="s">
        <v>31</v>
      </c>
      <c r="AO20" s="70">
        <f>+(50000/0.65)</f>
        <v>76923.076923076922</v>
      </c>
    </row>
    <row r="21" spans="1:47" x14ac:dyDescent="0.25">
      <c r="A21" s="28">
        <v>11</v>
      </c>
      <c r="B21" s="33">
        <v>43983</v>
      </c>
      <c r="C21" s="31">
        <f t="shared" si="1"/>
        <v>4166.666666666667</v>
      </c>
      <c r="D21" s="215">
        <v>0.6</v>
      </c>
      <c r="E21" s="31">
        <f>(+C21/D21)</f>
        <v>6944.4444444444453</v>
      </c>
      <c r="F21" s="31">
        <f>+E21/(1+H$1)^A21</f>
        <v>6756.3060420850334</v>
      </c>
      <c r="G21" s="31">
        <f t="shared" si="0"/>
        <v>6780.974054183489</v>
      </c>
      <c r="H21" s="30">
        <f t="shared" si="3"/>
        <v>162743.37730040372</v>
      </c>
      <c r="I21" s="31">
        <f t="shared" si="6"/>
        <v>416.06002032743106</v>
      </c>
      <c r="J21" s="34">
        <f t="shared" si="4"/>
        <v>166840.06815129984</v>
      </c>
      <c r="K21" s="31"/>
      <c r="L21" s="28"/>
      <c r="M21" s="33"/>
      <c r="N21" s="211"/>
      <c r="O21" s="211"/>
      <c r="P21" s="31"/>
      <c r="R21" s="31"/>
      <c r="S21" s="30">
        <f>+(100000/0.68)</f>
        <v>147058.82352941175</v>
      </c>
      <c r="T21" s="31"/>
      <c r="U21" s="34">
        <f>+Q59</f>
        <v>147211.82483938205</v>
      </c>
      <c r="V21" s="31"/>
      <c r="W21" s="28"/>
      <c r="X21" s="33"/>
      <c r="Y21" s="211"/>
      <c r="Z21" s="211"/>
      <c r="AA21" s="31"/>
      <c r="AB21" s="31"/>
      <c r="AC21" s="31"/>
      <c r="AD21" s="31"/>
      <c r="AE21" s="31"/>
      <c r="AF21" s="32"/>
      <c r="AG21" s="31"/>
      <c r="AH21" s="115"/>
      <c r="AI21" s="116"/>
      <c r="AJ21" s="116" t="s">
        <v>1</v>
      </c>
      <c r="AK21" s="40">
        <v>1240002</v>
      </c>
      <c r="AL21" s="40"/>
      <c r="AM21" s="40"/>
      <c r="AN21" s="40" t="s">
        <v>379</v>
      </c>
      <c r="AO21" s="70">
        <f>+AO18+AO19-AO20</f>
        <v>6410.2564102564211</v>
      </c>
    </row>
    <row r="22" spans="1:47" x14ac:dyDescent="0.25">
      <c r="A22" s="28"/>
      <c r="B22" s="33"/>
      <c r="C22" s="33"/>
      <c r="D22" s="211"/>
      <c r="E22" s="31"/>
      <c r="F22" s="31"/>
      <c r="G22" s="31"/>
      <c r="H22" s="30"/>
      <c r="I22" s="31"/>
      <c r="J22" s="34"/>
      <c r="K22" s="31"/>
      <c r="L22" s="28"/>
      <c r="M22" s="33"/>
      <c r="N22" s="211"/>
      <c r="O22" s="211"/>
      <c r="P22" s="31"/>
      <c r="Q22" s="31"/>
      <c r="R22" s="31"/>
      <c r="S22" s="30"/>
      <c r="T22" s="31"/>
      <c r="U22" s="34"/>
      <c r="V22" s="31"/>
      <c r="W22" s="28"/>
      <c r="X22" s="33"/>
      <c r="Y22" s="211"/>
      <c r="Z22" s="211"/>
      <c r="AA22" s="31"/>
      <c r="AB22" s="31"/>
      <c r="AC22" s="31"/>
      <c r="AD22" s="31"/>
      <c r="AE22" s="31"/>
      <c r="AF22" s="32"/>
      <c r="AG22" s="31"/>
      <c r="AH22" s="115" t="s">
        <v>373</v>
      </c>
      <c r="AI22" s="116"/>
      <c r="AJ22" s="116"/>
      <c r="AK22" s="40"/>
      <c r="AL22" s="40"/>
      <c r="AM22" s="40"/>
      <c r="AN22" s="40"/>
      <c r="AO22" s="70"/>
    </row>
    <row r="23" spans="1:47" x14ac:dyDescent="0.25">
      <c r="A23" s="28"/>
      <c r="B23" s="33"/>
      <c r="C23" s="33"/>
      <c r="D23" s="211"/>
      <c r="E23" s="31"/>
      <c r="F23" s="31"/>
      <c r="G23" s="31"/>
      <c r="H23" s="30"/>
      <c r="I23" s="31"/>
      <c r="J23" s="34"/>
      <c r="K23" s="31"/>
      <c r="L23" s="28"/>
      <c r="M23" s="33"/>
      <c r="N23" s="211"/>
      <c r="O23" s="211"/>
      <c r="P23" s="31"/>
      <c r="Q23" s="31"/>
      <c r="R23" s="31"/>
      <c r="S23" s="30"/>
      <c r="T23" s="31"/>
      <c r="U23" s="34"/>
      <c r="V23" s="31"/>
      <c r="W23" s="28"/>
      <c r="X23" s="33"/>
      <c r="Y23" s="211"/>
      <c r="Z23" s="211"/>
      <c r="AA23" s="31"/>
      <c r="AB23" s="31"/>
      <c r="AC23" s="31"/>
      <c r="AD23" s="31"/>
      <c r="AE23" s="31"/>
      <c r="AF23" s="32"/>
      <c r="AG23" s="31"/>
      <c r="AH23" s="115"/>
      <c r="AI23" s="116"/>
      <c r="AJ23" s="116"/>
      <c r="AK23" s="40"/>
      <c r="AL23" s="40"/>
      <c r="AM23" s="40"/>
      <c r="AN23" s="40"/>
      <c r="AO23" s="70"/>
    </row>
    <row r="24" spans="1:47" x14ac:dyDescent="0.25">
      <c r="A24" s="28"/>
      <c r="B24" s="33"/>
      <c r="C24" s="33"/>
      <c r="D24" s="211"/>
      <c r="E24" s="31"/>
      <c r="F24" s="31"/>
      <c r="G24" s="31"/>
      <c r="H24" s="30"/>
      <c r="I24" s="31"/>
      <c r="J24" s="34"/>
      <c r="K24" s="31"/>
      <c r="L24" s="28"/>
      <c r="M24" s="33"/>
      <c r="N24" s="211"/>
      <c r="O24" s="211"/>
      <c r="P24" s="31"/>
      <c r="Q24" s="31"/>
      <c r="R24" s="31"/>
      <c r="S24" s="30"/>
      <c r="T24" s="31"/>
      <c r="U24" s="34"/>
      <c r="V24" s="31"/>
      <c r="W24" s="28"/>
      <c r="X24" s="33"/>
      <c r="Y24" s="211"/>
      <c r="Z24" s="211"/>
      <c r="AA24" s="31"/>
      <c r="AB24" s="31"/>
      <c r="AC24" s="31"/>
      <c r="AD24" s="31"/>
      <c r="AE24" s="31"/>
      <c r="AF24" s="32"/>
      <c r="AG24" s="31"/>
      <c r="AH24" s="115" t="s">
        <v>112</v>
      </c>
      <c r="AI24" s="135">
        <v>44012</v>
      </c>
      <c r="AJ24" s="116" t="s">
        <v>0</v>
      </c>
      <c r="AK24" s="40">
        <v>3240102</v>
      </c>
      <c r="AL24" s="40"/>
      <c r="AM24" s="40"/>
      <c r="AN24" s="40" t="s">
        <v>270</v>
      </c>
      <c r="AO24" s="70">
        <f>+J21-U21</f>
        <v>19628.243311917788</v>
      </c>
    </row>
    <row r="25" spans="1:47" x14ac:dyDescent="0.25">
      <c r="A25" s="28"/>
      <c r="B25" s="33"/>
      <c r="C25" s="33"/>
      <c r="D25" s="211"/>
      <c r="E25" s="31"/>
      <c r="F25" s="31"/>
      <c r="G25" s="31"/>
      <c r="H25" s="30"/>
      <c r="I25" s="31"/>
      <c r="J25" s="34"/>
      <c r="K25" s="31"/>
      <c r="L25" s="28"/>
      <c r="M25" s="33"/>
      <c r="N25" s="211"/>
      <c r="O25" s="211"/>
      <c r="P25" s="31"/>
      <c r="Q25" s="31"/>
      <c r="R25" s="31"/>
      <c r="S25" s="30"/>
      <c r="T25" s="31"/>
      <c r="U25" s="34"/>
      <c r="V25" s="31"/>
      <c r="W25" s="28"/>
      <c r="X25" s="33"/>
      <c r="Y25" s="211"/>
      <c r="Z25" s="211"/>
      <c r="AA25" s="31"/>
      <c r="AB25" s="31"/>
      <c r="AC25" s="31"/>
      <c r="AD25" s="31"/>
      <c r="AE25" s="31"/>
      <c r="AF25" s="32"/>
      <c r="AG25" s="31"/>
      <c r="AH25" s="115"/>
      <c r="AI25" s="116"/>
      <c r="AJ25" s="135" t="s">
        <v>1</v>
      </c>
      <c r="AK25" s="40">
        <v>1240002</v>
      </c>
      <c r="AL25" s="40"/>
      <c r="AM25" s="40"/>
      <c r="AN25" s="40" t="s">
        <v>379</v>
      </c>
      <c r="AO25" s="70">
        <f>+AO24</f>
        <v>19628.243311917788</v>
      </c>
    </row>
    <row r="26" spans="1:47" x14ac:dyDescent="0.25">
      <c r="A26" s="28"/>
      <c r="B26" s="33"/>
      <c r="C26" s="33"/>
      <c r="D26" s="211"/>
      <c r="E26" s="31"/>
      <c r="F26" s="31"/>
      <c r="G26" s="31"/>
      <c r="H26" s="30"/>
      <c r="I26" s="31"/>
      <c r="J26" s="34"/>
      <c r="K26" s="31"/>
      <c r="L26" s="28"/>
      <c r="M26" s="33"/>
      <c r="N26" s="211"/>
      <c r="O26" s="211"/>
      <c r="P26" s="31"/>
      <c r="Q26" s="31"/>
      <c r="R26" s="31"/>
      <c r="S26" s="30"/>
      <c r="T26" s="31"/>
      <c r="U26" s="34"/>
      <c r="V26" s="31"/>
      <c r="W26" s="28"/>
      <c r="X26" s="33"/>
      <c r="Y26" s="211"/>
      <c r="Z26" s="211"/>
      <c r="AA26" s="31"/>
      <c r="AB26" s="31"/>
      <c r="AC26" s="31"/>
      <c r="AD26" s="31"/>
      <c r="AE26" s="31"/>
      <c r="AF26" s="32"/>
      <c r="AG26" s="31"/>
      <c r="AH26" s="115" t="s">
        <v>374</v>
      </c>
      <c r="AI26" s="116"/>
      <c r="AJ26" s="116"/>
      <c r="AK26" s="40"/>
      <c r="AL26" s="40"/>
      <c r="AM26" s="40"/>
      <c r="AN26" s="40"/>
      <c r="AO26" s="70"/>
    </row>
    <row r="27" spans="1:47" x14ac:dyDescent="0.25">
      <c r="A27" s="28"/>
      <c r="B27" s="33"/>
      <c r="C27" s="33"/>
      <c r="D27" s="211"/>
      <c r="E27" s="31"/>
      <c r="F27" s="31"/>
      <c r="G27" s="31"/>
      <c r="H27" s="30"/>
      <c r="I27" s="31"/>
      <c r="J27" s="34"/>
      <c r="K27" s="31"/>
      <c r="L27" s="28"/>
      <c r="M27" s="33"/>
      <c r="N27" s="211"/>
      <c r="O27" s="211"/>
      <c r="P27" s="31"/>
      <c r="Q27" s="31"/>
      <c r="R27" s="31"/>
      <c r="S27" s="30"/>
      <c r="T27" s="31"/>
      <c r="U27" s="34"/>
      <c r="V27" s="31"/>
      <c r="W27" s="28"/>
      <c r="X27" s="33"/>
      <c r="Y27" s="211"/>
      <c r="Z27" s="211"/>
      <c r="AA27" s="31"/>
      <c r="AB27" s="31"/>
      <c r="AC27" s="31"/>
      <c r="AD27" s="31"/>
      <c r="AE27" s="31"/>
      <c r="AF27" s="32"/>
      <c r="AG27" s="31"/>
      <c r="AH27" s="115"/>
      <c r="AI27" s="116"/>
      <c r="AJ27" s="116"/>
      <c r="AK27" s="40"/>
      <c r="AL27" s="40"/>
      <c r="AM27" s="40"/>
      <c r="AN27" s="40"/>
      <c r="AO27" s="70"/>
    </row>
    <row r="28" spans="1:47" x14ac:dyDescent="0.25">
      <c r="A28" s="28"/>
      <c r="B28" s="33"/>
      <c r="C28" s="33"/>
      <c r="D28" s="211"/>
      <c r="E28" s="31"/>
      <c r="F28" s="31"/>
      <c r="G28" s="31"/>
      <c r="H28" s="30"/>
      <c r="I28" s="31"/>
      <c r="J28" s="34"/>
      <c r="K28" s="31"/>
      <c r="L28" s="28"/>
      <c r="M28" s="33"/>
      <c r="N28" s="211"/>
      <c r="O28" s="211"/>
      <c r="P28" s="31"/>
      <c r="Q28" s="31"/>
      <c r="R28" s="31"/>
      <c r="S28" s="30"/>
      <c r="T28" s="31"/>
      <c r="U28" s="34"/>
      <c r="V28" s="31"/>
      <c r="W28" s="28"/>
      <c r="X28" s="33"/>
      <c r="Y28" s="211"/>
      <c r="Z28" s="211"/>
      <c r="AA28" s="31"/>
      <c r="AB28" s="31"/>
      <c r="AC28" s="31"/>
      <c r="AD28" s="31"/>
      <c r="AE28" s="31"/>
      <c r="AF28" s="32"/>
      <c r="AG28" s="31"/>
      <c r="AH28" s="250" t="s">
        <v>205</v>
      </c>
      <c r="AI28" s="251">
        <v>44012</v>
      </c>
      <c r="AJ28" s="109" t="s">
        <v>0</v>
      </c>
      <c r="AK28" s="109">
        <v>5311002</v>
      </c>
      <c r="AL28" s="109">
        <v>7359</v>
      </c>
      <c r="AM28" s="109"/>
      <c r="AN28" s="109" t="s">
        <v>105</v>
      </c>
      <c r="AO28" s="110">
        <f>SUM(G10:G21)</f>
        <v>81371.688650201875</v>
      </c>
      <c r="AQ28" s="72"/>
      <c r="AU28" s="72"/>
    </row>
    <row r="29" spans="1:47" x14ac:dyDescent="0.25">
      <c r="A29" s="28"/>
      <c r="B29" s="33"/>
      <c r="C29" s="33"/>
      <c r="D29" s="211"/>
      <c r="E29" s="31"/>
      <c r="F29" s="31"/>
      <c r="G29" s="31"/>
      <c r="H29" s="30"/>
      <c r="I29" s="31"/>
      <c r="J29" s="34"/>
      <c r="K29" s="31"/>
      <c r="L29" s="28"/>
      <c r="M29" s="33"/>
      <c r="N29" s="211"/>
      <c r="O29" s="211"/>
      <c r="P29" s="31"/>
      <c r="Q29" s="31"/>
      <c r="R29" s="31"/>
      <c r="S29" s="30"/>
      <c r="T29" s="31"/>
      <c r="U29" s="34"/>
      <c r="V29" s="31"/>
      <c r="W29" s="28"/>
      <c r="X29" s="33"/>
      <c r="Y29" s="211"/>
      <c r="Z29" s="211"/>
      <c r="AA29" s="31"/>
      <c r="AB29" s="31"/>
      <c r="AC29" s="31"/>
      <c r="AD29" s="31"/>
      <c r="AE29" s="31"/>
      <c r="AF29" s="32"/>
      <c r="AG29" s="31"/>
      <c r="AH29" s="250"/>
      <c r="AI29" s="109"/>
      <c r="AJ29" s="109" t="s">
        <v>0</v>
      </c>
      <c r="AK29" s="109">
        <v>2254001</v>
      </c>
      <c r="AL29" s="109"/>
      <c r="AM29" s="109"/>
      <c r="AN29" s="109" t="s">
        <v>423</v>
      </c>
      <c r="AO29" s="110">
        <f>+(H21-S21)</f>
        <v>15684.553770991974</v>
      </c>
    </row>
    <row r="30" spans="1:47" x14ac:dyDescent="0.25">
      <c r="A30" s="28"/>
      <c r="B30" s="33"/>
      <c r="C30" s="33"/>
      <c r="D30" s="211"/>
      <c r="E30" s="31"/>
      <c r="F30" s="31"/>
      <c r="G30" s="31"/>
      <c r="H30" s="30"/>
      <c r="I30" s="31"/>
      <c r="J30" s="34"/>
      <c r="K30" s="31"/>
      <c r="L30" s="28"/>
      <c r="M30" s="33"/>
      <c r="N30" s="211"/>
      <c r="O30" s="211"/>
      <c r="P30" s="31"/>
      <c r="Q30" s="31"/>
      <c r="R30" s="31"/>
      <c r="S30" s="30"/>
      <c r="T30" s="31"/>
      <c r="U30" s="34"/>
      <c r="V30" s="31"/>
      <c r="W30" s="28"/>
      <c r="X30" s="33"/>
      <c r="Y30" s="211"/>
      <c r="Z30" s="211"/>
      <c r="AA30" s="31"/>
      <c r="AB30" s="31"/>
      <c r="AC30" s="31"/>
      <c r="AD30" s="31"/>
      <c r="AE30" s="31"/>
      <c r="AF30" s="32"/>
      <c r="AG30" s="31"/>
      <c r="AH30" s="250"/>
      <c r="AI30" s="109"/>
      <c r="AJ30" s="109" t="s">
        <v>1</v>
      </c>
      <c r="AK30" s="109">
        <v>5311002</v>
      </c>
      <c r="AL30" s="109">
        <v>7333</v>
      </c>
      <c r="AM30" s="109"/>
      <c r="AN30" s="109" t="s">
        <v>146</v>
      </c>
      <c r="AO30" s="110">
        <f>AO28+(H21-S21)</f>
        <v>97056.242421193849</v>
      </c>
    </row>
    <row r="31" spans="1:47" x14ac:dyDescent="0.25">
      <c r="A31" s="28"/>
      <c r="B31" s="33"/>
      <c r="C31" s="33"/>
      <c r="D31" s="211"/>
      <c r="E31" s="31"/>
      <c r="F31" s="31"/>
      <c r="G31" s="31"/>
      <c r="H31" s="30"/>
      <c r="I31" s="31"/>
      <c r="J31" s="34"/>
      <c r="K31" s="31"/>
      <c r="L31" s="28"/>
      <c r="M31" s="33"/>
      <c r="N31" s="211"/>
      <c r="O31" s="211"/>
      <c r="P31" s="31"/>
      <c r="Q31" s="31"/>
      <c r="R31" s="31"/>
      <c r="S31" s="30"/>
      <c r="T31" s="31"/>
      <c r="U31" s="34"/>
      <c r="V31" s="31"/>
      <c r="W31" s="28"/>
      <c r="X31" s="33"/>
      <c r="Y31" s="211"/>
      <c r="Z31" s="211"/>
      <c r="AA31" s="31"/>
      <c r="AB31" s="31"/>
      <c r="AC31" s="31"/>
      <c r="AD31" s="31"/>
      <c r="AE31" s="31"/>
      <c r="AF31" s="32"/>
      <c r="AG31" s="31"/>
      <c r="AH31" s="250" t="s">
        <v>375</v>
      </c>
      <c r="AI31" s="109"/>
      <c r="AJ31" s="250"/>
      <c r="AK31" s="109"/>
      <c r="AL31" s="109"/>
      <c r="AM31" s="109"/>
      <c r="AN31" s="109"/>
      <c r="AO31" s="110"/>
    </row>
    <row r="32" spans="1:47" ht="14.25" customHeight="1" thickBot="1" x14ac:dyDescent="0.3">
      <c r="A32" s="35"/>
      <c r="B32" s="129"/>
      <c r="C32" s="129"/>
      <c r="D32" s="212"/>
      <c r="E32" s="130"/>
      <c r="F32" s="130"/>
      <c r="G32" s="130"/>
      <c r="H32" s="37"/>
      <c r="I32" s="130"/>
      <c r="J32" s="114"/>
      <c r="K32" s="31"/>
      <c r="L32" s="35"/>
      <c r="M32" s="129"/>
      <c r="N32" s="212"/>
      <c r="O32" s="212"/>
      <c r="P32" s="130"/>
      <c r="Q32" s="130"/>
      <c r="R32" s="130"/>
      <c r="S32" s="37"/>
      <c r="T32" s="130"/>
      <c r="U32" s="114"/>
      <c r="V32" s="31"/>
      <c r="W32" s="35"/>
      <c r="X32" s="129"/>
      <c r="Y32" s="212"/>
      <c r="Z32" s="212"/>
      <c r="AA32" s="130"/>
      <c r="AB32" s="130"/>
      <c r="AC32" s="130"/>
      <c r="AD32" s="130"/>
      <c r="AE32" s="130"/>
      <c r="AF32" s="131"/>
      <c r="AG32" s="31"/>
      <c r="AH32" s="136"/>
      <c r="AI32" s="137"/>
      <c r="AJ32" s="137"/>
      <c r="AK32" s="47"/>
      <c r="AL32" s="47"/>
      <c r="AM32" s="47"/>
      <c r="AN32" s="47"/>
      <c r="AO32" s="73"/>
    </row>
    <row r="33" spans="1:43" x14ac:dyDescent="0.25">
      <c r="A33" s="28">
        <v>12</v>
      </c>
      <c r="B33" s="33">
        <v>44013</v>
      </c>
      <c r="C33" s="31">
        <f>+(C$21*1.02)</f>
        <v>4250</v>
      </c>
      <c r="D33" s="215">
        <v>0.6</v>
      </c>
      <c r="E33" s="31">
        <f>(+C33/+D33)</f>
        <v>7083.3333333333339</v>
      </c>
      <c r="F33" s="31">
        <f>+E33/(1+H$1)^A33</f>
        <v>6874.2465465603327</v>
      </c>
      <c r="G33" s="31">
        <f t="shared" ref="G33:G44" si="7">+F$59/36</f>
        <v>6780.974054183489</v>
      </c>
      <c r="H33" s="31">
        <f>+H21-G33</f>
        <v>155962.40324622023</v>
      </c>
      <c r="I33" s="31">
        <f>+(J21-E33)*H$1</f>
        <v>399.39183704491626</v>
      </c>
      <c r="J33" s="32">
        <f>+J21-E33+I33</f>
        <v>160156.12665501141</v>
      </c>
      <c r="K33" s="31"/>
      <c r="L33" s="28">
        <v>0</v>
      </c>
      <c r="M33" s="33">
        <v>44013</v>
      </c>
      <c r="N33" s="31">
        <f>51000/12</f>
        <v>4250</v>
      </c>
      <c r="O33" s="215">
        <v>0.68</v>
      </c>
      <c r="P33" s="31">
        <f>(N33/+O33)</f>
        <v>6250</v>
      </c>
      <c r="Q33" s="31">
        <f>+P33/(1+H$1)^L33</f>
        <v>6250</v>
      </c>
      <c r="R33" s="31">
        <f>+(S$21)/24</f>
        <v>6127.4509803921565</v>
      </c>
      <c r="S33" s="31">
        <f>+S21-R33</f>
        <v>140931.37254901958</v>
      </c>
      <c r="T33" s="31">
        <f>+(Q$59-P33)*H$1</f>
        <v>352.40456209845513</v>
      </c>
      <c r="U33" s="32">
        <f>+U21-P33+T33</f>
        <v>141314.22940148052</v>
      </c>
      <c r="V33" s="31"/>
      <c r="W33" s="28"/>
      <c r="X33" s="33"/>
      <c r="Y33" s="211"/>
      <c r="Z33" s="211"/>
      <c r="AA33" s="31"/>
      <c r="AB33" s="31"/>
      <c r="AC33" s="31"/>
      <c r="AD33" s="31"/>
      <c r="AE33" s="31"/>
      <c r="AF33" s="32"/>
      <c r="AG33" s="31"/>
      <c r="AH33" s="115" t="s">
        <v>114</v>
      </c>
      <c r="AI33" s="116" t="s">
        <v>106</v>
      </c>
      <c r="AJ33" s="116" t="s">
        <v>0</v>
      </c>
      <c r="AK33" s="40">
        <v>2241002</v>
      </c>
      <c r="AL33" s="40"/>
      <c r="AM33" s="40"/>
      <c r="AN33" s="40" t="s">
        <v>251</v>
      </c>
      <c r="AO33" s="70">
        <f>SUM(R33:R44)</f>
        <v>73529.411764705859</v>
      </c>
    </row>
    <row r="34" spans="1:43" x14ac:dyDescent="0.25">
      <c r="A34" s="28">
        <v>13</v>
      </c>
      <c r="B34" s="33">
        <v>44044</v>
      </c>
      <c r="C34" s="31">
        <f>+(C$21*1.02)</f>
        <v>4250</v>
      </c>
      <c r="D34" s="215">
        <v>0.6</v>
      </c>
      <c r="E34" s="31">
        <f t="shared" ref="E34:E43" si="8">(+C34/+D34)</f>
        <v>7083.3333333333339</v>
      </c>
      <c r="F34" s="31">
        <f t="shared" ref="F34:F43" si="9">+E34/(1+H$1)^A34</f>
        <v>6857.1037870926002</v>
      </c>
      <c r="G34" s="31">
        <f t="shared" si="7"/>
        <v>6780.974054183489</v>
      </c>
      <c r="H34" s="31">
        <f t="shared" ref="H34:H44" si="10">+H33-G34</f>
        <v>149181.42919203674</v>
      </c>
      <c r="I34" s="31">
        <f t="shared" ref="I34:I44" si="11">+(J33-E34)*H$1</f>
        <v>382.68198330419517</v>
      </c>
      <c r="J34" s="32">
        <f t="shared" ref="J34:J44" si="12">+J33-E34+I34</f>
        <v>153455.47530498225</v>
      </c>
      <c r="K34" s="31"/>
      <c r="L34" s="28">
        <v>1</v>
      </c>
      <c r="M34" s="33">
        <v>44044</v>
      </c>
      <c r="N34" s="31">
        <f t="shared" ref="N34:N44" si="13">51000/12</f>
        <v>4250</v>
      </c>
      <c r="O34" s="215">
        <v>0.68</v>
      </c>
      <c r="P34" s="31">
        <f t="shared" ref="P34:P43" si="14">(N34/+O34)</f>
        <v>6250</v>
      </c>
      <c r="Q34" s="31">
        <f t="shared" ref="Q34:Q43" si="15">+P34/(1+H$1)^L34</f>
        <v>6234.4139650872821</v>
      </c>
      <c r="R34" s="31">
        <f t="shared" ref="R34:R44" si="16">+(S$21)/24</f>
        <v>6127.4509803921565</v>
      </c>
      <c r="S34" s="31">
        <f t="shared" ref="S34:S44" si="17">+S33-R34</f>
        <v>134803.92156862741</v>
      </c>
      <c r="T34" s="31">
        <f t="shared" ref="T34:T43" si="18">+(U33-P34)*H$1</f>
        <v>337.6605735037013</v>
      </c>
      <c r="U34" s="32">
        <f>+U33-P34+T34</f>
        <v>135401.88997498422</v>
      </c>
      <c r="V34" s="31"/>
      <c r="W34" s="28"/>
      <c r="X34" s="33"/>
      <c r="Y34" s="211"/>
      <c r="Z34" s="211"/>
      <c r="AA34" s="31"/>
      <c r="AB34" s="31"/>
      <c r="AC34" s="31"/>
      <c r="AD34" s="31"/>
      <c r="AE34" s="31"/>
      <c r="AF34" s="32"/>
      <c r="AG34" s="31"/>
      <c r="AH34" s="115"/>
      <c r="AI34" s="116"/>
      <c r="AJ34" s="116" t="s">
        <v>1</v>
      </c>
      <c r="AK34" s="40">
        <v>5311002</v>
      </c>
      <c r="AL34" s="40">
        <v>7353</v>
      </c>
      <c r="AM34" s="40"/>
      <c r="AN34" s="40" t="s">
        <v>105</v>
      </c>
      <c r="AO34" s="70">
        <f>AO33</f>
        <v>73529.411764705859</v>
      </c>
    </row>
    <row r="35" spans="1:43" x14ac:dyDescent="0.25">
      <c r="A35" s="28">
        <v>14</v>
      </c>
      <c r="B35" s="33">
        <v>44075</v>
      </c>
      <c r="C35" s="31">
        <f t="shared" ref="C35:C44" si="19">+(C$21*1.02)</f>
        <v>4250</v>
      </c>
      <c r="D35" s="215">
        <v>0.6</v>
      </c>
      <c r="E35" s="31">
        <f t="shared" si="8"/>
        <v>7083.3333333333339</v>
      </c>
      <c r="F35" s="31">
        <f t="shared" si="9"/>
        <v>6840.0037776484805</v>
      </c>
      <c r="G35" s="31">
        <f t="shared" si="7"/>
        <v>6780.974054183489</v>
      </c>
      <c r="H35" s="31">
        <f t="shared" si="10"/>
        <v>142400.45513785325</v>
      </c>
      <c r="I35" s="31">
        <f t="shared" si="11"/>
        <v>365.93035492912225</v>
      </c>
      <c r="J35" s="32">
        <f t="shared" si="12"/>
        <v>146738.07232657803</v>
      </c>
      <c r="K35" s="31"/>
      <c r="L35" s="28">
        <v>2</v>
      </c>
      <c r="M35" s="33">
        <v>44075</v>
      </c>
      <c r="N35" s="31">
        <f t="shared" si="13"/>
        <v>4250</v>
      </c>
      <c r="O35" s="215">
        <v>0.68</v>
      </c>
      <c r="P35" s="31">
        <f t="shared" si="14"/>
        <v>6250</v>
      </c>
      <c r="Q35" s="31">
        <f t="shared" si="15"/>
        <v>6218.8667980920527</v>
      </c>
      <c r="R35" s="31">
        <f t="shared" si="16"/>
        <v>6127.4509803921565</v>
      </c>
      <c r="S35" s="31">
        <f t="shared" si="17"/>
        <v>128676.47058823526</v>
      </c>
      <c r="T35" s="31">
        <f t="shared" si="18"/>
        <v>322.87972493746059</v>
      </c>
      <c r="U35" s="32">
        <f t="shared" ref="U35:U44" si="20">+U34-P35+T35</f>
        <v>129474.76969992169</v>
      </c>
      <c r="V35" s="31"/>
      <c r="W35" s="28"/>
      <c r="X35" s="33"/>
      <c r="Y35" s="211"/>
      <c r="Z35" s="211"/>
      <c r="AA35" s="31"/>
      <c r="AB35" s="31"/>
      <c r="AC35" s="31"/>
      <c r="AD35" s="31"/>
      <c r="AE35" s="31"/>
      <c r="AF35" s="32"/>
      <c r="AG35" s="31"/>
      <c r="AH35" s="139" t="s">
        <v>188</v>
      </c>
      <c r="AI35" s="115"/>
      <c r="AJ35" s="115"/>
      <c r="AK35" s="116"/>
      <c r="AL35" s="40"/>
      <c r="AM35" s="40"/>
      <c r="AN35" s="40"/>
      <c r="AO35" s="70"/>
    </row>
    <row r="36" spans="1:43" x14ac:dyDescent="0.25">
      <c r="A36" s="28">
        <v>15</v>
      </c>
      <c r="B36" s="33">
        <v>44105</v>
      </c>
      <c r="C36" s="31">
        <f t="shared" si="19"/>
        <v>4250</v>
      </c>
      <c r="D36" s="215">
        <v>0.6</v>
      </c>
      <c r="E36" s="31">
        <f t="shared" si="8"/>
        <v>7083.3333333333339</v>
      </c>
      <c r="F36" s="31">
        <f t="shared" si="9"/>
        <v>6822.9464116194331</v>
      </c>
      <c r="G36" s="31">
        <f t="shared" si="7"/>
        <v>6780.974054183489</v>
      </c>
      <c r="H36" s="31">
        <f t="shared" si="10"/>
        <v>135619.48108366976</v>
      </c>
      <c r="I36" s="31">
        <f t="shared" si="11"/>
        <v>349.13684748311169</v>
      </c>
      <c r="J36" s="32">
        <f t="shared" si="12"/>
        <v>140003.87584072779</v>
      </c>
      <c r="K36" s="31"/>
      <c r="L36" s="28">
        <v>3</v>
      </c>
      <c r="M36" s="33">
        <v>44105</v>
      </c>
      <c r="N36" s="31">
        <f t="shared" si="13"/>
        <v>4250</v>
      </c>
      <c r="O36" s="215">
        <v>0.68</v>
      </c>
      <c r="P36" s="31">
        <f t="shared" si="14"/>
        <v>6250</v>
      </c>
      <c r="Q36" s="31">
        <f t="shared" si="15"/>
        <v>6203.3584020868357</v>
      </c>
      <c r="R36" s="31">
        <f t="shared" si="16"/>
        <v>6127.4509803921565</v>
      </c>
      <c r="S36" s="31">
        <f t="shared" si="17"/>
        <v>122549.0196078431</v>
      </c>
      <c r="T36" s="31">
        <f t="shared" si="18"/>
        <v>308.06192424980424</v>
      </c>
      <c r="U36" s="32">
        <f t="shared" si="20"/>
        <v>123532.83162417149</v>
      </c>
      <c r="V36" s="31"/>
      <c r="W36" s="28"/>
      <c r="X36" s="33"/>
      <c r="Y36" s="211"/>
      <c r="Z36" s="211"/>
      <c r="AA36" s="31"/>
      <c r="AB36" s="31"/>
      <c r="AC36" s="31"/>
      <c r="AD36" s="31"/>
      <c r="AE36" s="31"/>
      <c r="AF36" s="32"/>
      <c r="AG36" s="31"/>
      <c r="AH36" s="115"/>
      <c r="AI36" s="116"/>
      <c r="AJ36" s="116"/>
      <c r="AK36" s="40"/>
      <c r="AL36" s="40"/>
      <c r="AM36" s="40"/>
      <c r="AN36" s="40"/>
      <c r="AO36" s="70"/>
    </row>
    <row r="37" spans="1:43" x14ac:dyDescent="0.25">
      <c r="A37" s="28">
        <v>16</v>
      </c>
      <c r="B37" s="33">
        <v>44136</v>
      </c>
      <c r="C37" s="31">
        <f t="shared" si="19"/>
        <v>4250</v>
      </c>
      <c r="D37" s="215">
        <v>0.6</v>
      </c>
      <c r="E37" s="31">
        <f t="shared" si="8"/>
        <v>7083.3333333333339</v>
      </c>
      <c r="F37" s="31">
        <f t="shared" si="9"/>
        <v>6805.9315826627753</v>
      </c>
      <c r="G37" s="31">
        <f t="shared" si="7"/>
        <v>6780.974054183489</v>
      </c>
      <c r="H37" s="31">
        <f t="shared" si="10"/>
        <v>128838.50702948627</v>
      </c>
      <c r="I37" s="31">
        <f t="shared" si="11"/>
        <v>332.30135626848613</v>
      </c>
      <c r="J37" s="32">
        <f t="shared" si="12"/>
        <v>133252.84386366294</v>
      </c>
      <c r="K37" s="31"/>
      <c r="L37" s="28">
        <v>4</v>
      </c>
      <c r="M37" s="33">
        <v>44136</v>
      </c>
      <c r="N37" s="31">
        <f t="shared" si="13"/>
        <v>4250</v>
      </c>
      <c r="O37" s="215">
        <v>0.68</v>
      </c>
      <c r="P37" s="31">
        <f t="shared" si="14"/>
        <v>6250</v>
      </c>
      <c r="Q37" s="31">
        <f t="shared" si="15"/>
        <v>6187.8886803858713</v>
      </c>
      <c r="R37" s="31">
        <f t="shared" si="16"/>
        <v>6127.4509803921565</v>
      </c>
      <c r="S37" s="31">
        <f t="shared" si="17"/>
        <v>116421.56862745095</v>
      </c>
      <c r="T37" s="31">
        <f t="shared" si="18"/>
        <v>293.20707906042873</v>
      </c>
      <c r="U37" s="32">
        <f t="shared" si="20"/>
        <v>117576.03870323193</v>
      </c>
      <c r="V37" s="31"/>
      <c r="W37" s="28"/>
      <c r="X37" s="33"/>
      <c r="Y37" s="211"/>
      <c r="Z37" s="211"/>
      <c r="AA37" s="31"/>
      <c r="AB37" s="31"/>
      <c r="AC37" s="31"/>
      <c r="AD37" s="31"/>
      <c r="AE37" s="31"/>
      <c r="AF37" s="32"/>
      <c r="AG37" s="31"/>
      <c r="AH37" s="134" t="s">
        <v>116</v>
      </c>
      <c r="AI37" s="116" t="s">
        <v>106</v>
      </c>
      <c r="AJ37" s="116" t="s">
        <v>0</v>
      </c>
      <c r="AK37" s="116">
        <v>3240106</v>
      </c>
      <c r="AL37" s="116"/>
      <c r="AM37" s="40"/>
      <c r="AN37" s="40" t="s">
        <v>271</v>
      </c>
      <c r="AO37" s="70">
        <f>SUM(P33:P44)-SUM(T33:T44)</f>
        <v>71752.403493004284</v>
      </c>
    </row>
    <row r="38" spans="1:43" x14ac:dyDescent="0.25">
      <c r="A38" s="28">
        <v>17</v>
      </c>
      <c r="B38" s="33">
        <v>44166</v>
      </c>
      <c r="C38" s="31">
        <f t="shared" si="19"/>
        <v>4250</v>
      </c>
      <c r="D38" s="215">
        <v>0.6</v>
      </c>
      <c r="E38" s="31">
        <f t="shared" si="8"/>
        <v>7083.3333333333339</v>
      </c>
      <c r="F38" s="31">
        <f t="shared" si="9"/>
        <v>6788.9591847010233</v>
      </c>
      <c r="G38" s="31">
        <f t="shared" si="7"/>
        <v>6780.974054183489</v>
      </c>
      <c r="H38" s="31">
        <f t="shared" si="10"/>
        <v>122057.53297530278</v>
      </c>
      <c r="I38" s="31">
        <f t="shared" si="11"/>
        <v>315.42377632582406</v>
      </c>
      <c r="J38" s="32">
        <f t="shared" si="12"/>
        <v>126484.93430665544</v>
      </c>
      <c r="K38" s="31"/>
      <c r="L38" s="28">
        <v>5</v>
      </c>
      <c r="M38" s="33">
        <v>44166</v>
      </c>
      <c r="N38" s="31">
        <f t="shared" si="13"/>
        <v>4250</v>
      </c>
      <c r="O38" s="215">
        <v>0.68</v>
      </c>
      <c r="P38" s="31">
        <f t="shared" si="14"/>
        <v>6250</v>
      </c>
      <c r="Q38" s="31">
        <f t="shared" si="15"/>
        <v>6172.4575365445098</v>
      </c>
      <c r="R38" s="31">
        <f t="shared" si="16"/>
        <v>6127.4509803921565</v>
      </c>
      <c r="S38" s="31">
        <f t="shared" si="17"/>
        <v>110294.1176470588</v>
      </c>
      <c r="T38" s="31">
        <f t="shared" si="18"/>
        <v>278.31509675807985</v>
      </c>
      <c r="U38" s="32">
        <f t="shared" si="20"/>
        <v>111604.35379999</v>
      </c>
      <c r="V38" s="31"/>
      <c r="W38" s="28"/>
      <c r="X38" s="33"/>
      <c r="Y38" s="211"/>
      <c r="Z38" s="211"/>
      <c r="AA38" s="31"/>
      <c r="AB38" s="31"/>
      <c r="AC38" s="31"/>
      <c r="AD38" s="31"/>
      <c r="AE38" s="31"/>
      <c r="AF38" s="32"/>
      <c r="AG38" s="31"/>
      <c r="AH38" s="115"/>
      <c r="AI38" s="116"/>
      <c r="AJ38" s="116" t="s">
        <v>0</v>
      </c>
      <c r="AK38" s="40">
        <v>2422020</v>
      </c>
      <c r="AL38" s="40"/>
      <c r="AM38" s="40"/>
      <c r="AN38" s="40" t="s">
        <v>161</v>
      </c>
      <c r="AO38" s="70">
        <f>SUM(T33:T44)</f>
        <v>3247.596506995711</v>
      </c>
    </row>
    <row r="39" spans="1:43" x14ac:dyDescent="0.25">
      <c r="A39" s="28">
        <v>18</v>
      </c>
      <c r="B39" s="33">
        <v>44197</v>
      </c>
      <c r="C39" s="31">
        <f t="shared" si="19"/>
        <v>4250</v>
      </c>
      <c r="D39" s="215">
        <v>0.6</v>
      </c>
      <c r="E39" s="31">
        <f t="shared" si="8"/>
        <v>7083.3333333333339</v>
      </c>
      <c r="F39" s="31">
        <f t="shared" si="9"/>
        <v>6772.0291119212197</v>
      </c>
      <c r="G39" s="31">
        <f t="shared" si="7"/>
        <v>6780.974054183489</v>
      </c>
      <c r="H39" s="31">
        <f t="shared" si="10"/>
        <v>115276.55892111929</v>
      </c>
      <c r="I39" s="31">
        <f t="shared" si="11"/>
        <v>298.50400243330529</v>
      </c>
      <c r="J39" s="32">
        <f t="shared" si="12"/>
        <v>119700.10497575541</v>
      </c>
      <c r="K39" s="31"/>
      <c r="L39" s="28">
        <v>6</v>
      </c>
      <c r="M39" s="33">
        <v>44197</v>
      </c>
      <c r="N39" s="31">
        <f t="shared" si="13"/>
        <v>4250</v>
      </c>
      <c r="O39" s="215">
        <v>0.68</v>
      </c>
      <c r="P39" s="31">
        <f t="shared" si="14"/>
        <v>6250</v>
      </c>
      <c r="Q39" s="31">
        <f t="shared" si="15"/>
        <v>6157.0648743586144</v>
      </c>
      <c r="R39" s="31">
        <f t="shared" si="16"/>
        <v>6127.4509803921565</v>
      </c>
      <c r="S39" s="31">
        <f t="shared" si="17"/>
        <v>104166.66666666664</v>
      </c>
      <c r="T39" s="31">
        <f t="shared" si="18"/>
        <v>263.38588449997502</v>
      </c>
      <c r="U39" s="32">
        <f t="shared" si="20"/>
        <v>105617.73968448998</v>
      </c>
      <c r="V39" s="31"/>
      <c r="W39" s="28"/>
      <c r="X39" s="33"/>
      <c r="Y39" s="211"/>
      <c r="Z39" s="211"/>
      <c r="AA39" s="31"/>
      <c r="AB39" s="31"/>
      <c r="AC39" s="31"/>
      <c r="AD39" s="31"/>
      <c r="AE39" s="31"/>
      <c r="AF39" s="32"/>
      <c r="AG39" s="31"/>
      <c r="AH39" s="115"/>
      <c r="AI39" s="116"/>
      <c r="AJ39" s="116" t="s">
        <v>1</v>
      </c>
      <c r="AK39" s="40"/>
      <c r="AL39" s="40"/>
      <c r="AM39" s="40"/>
      <c r="AN39" s="40" t="s">
        <v>31</v>
      </c>
      <c r="AO39" s="70">
        <f>+((50000*1.02)/0.7)</f>
        <v>72857.142857142855</v>
      </c>
    </row>
    <row r="40" spans="1:43" x14ac:dyDescent="0.25">
      <c r="A40" s="28">
        <v>19</v>
      </c>
      <c r="B40" s="33">
        <v>44228</v>
      </c>
      <c r="C40" s="31">
        <f t="shared" si="19"/>
        <v>4250</v>
      </c>
      <c r="D40" s="215">
        <v>0.6</v>
      </c>
      <c r="E40" s="31">
        <f t="shared" si="8"/>
        <v>7083.3333333333339</v>
      </c>
      <c r="F40" s="31">
        <f t="shared" si="9"/>
        <v>6755.1412587742852</v>
      </c>
      <c r="G40" s="31">
        <f t="shared" si="7"/>
        <v>6780.974054183489</v>
      </c>
      <c r="H40" s="31">
        <f t="shared" si="10"/>
        <v>108495.58486693579</v>
      </c>
      <c r="I40" s="31">
        <f t="shared" si="11"/>
        <v>281.54192910605519</v>
      </c>
      <c r="J40" s="32">
        <f t="shared" si="12"/>
        <v>112898.31357152814</v>
      </c>
      <c r="K40" s="31"/>
      <c r="L40" s="28">
        <v>7</v>
      </c>
      <c r="M40" s="33">
        <v>44228</v>
      </c>
      <c r="N40" s="31">
        <f t="shared" si="13"/>
        <v>4250</v>
      </c>
      <c r="O40" s="215">
        <v>0.68</v>
      </c>
      <c r="P40" s="31">
        <f t="shared" si="14"/>
        <v>6250</v>
      </c>
      <c r="Q40" s="31">
        <f t="shared" si="15"/>
        <v>6141.7105978639547</v>
      </c>
      <c r="R40" s="31">
        <f t="shared" si="16"/>
        <v>6127.4509803921565</v>
      </c>
      <c r="S40" s="31">
        <f t="shared" si="17"/>
        <v>98039.215686274489</v>
      </c>
      <c r="T40" s="31">
        <f t="shared" si="18"/>
        <v>248.41934921122495</v>
      </c>
      <c r="U40" s="32">
        <f t="shared" si="20"/>
        <v>99616.159033701202</v>
      </c>
      <c r="V40" s="31"/>
      <c r="W40" s="28"/>
      <c r="X40" s="33"/>
      <c r="Y40" s="211"/>
      <c r="Z40" s="211"/>
      <c r="AA40" s="31"/>
      <c r="AB40" s="31"/>
      <c r="AC40" s="31"/>
      <c r="AD40" s="31"/>
      <c r="AE40" s="31"/>
      <c r="AF40" s="32"/>
      <c r="AG40" s="31"/>
      <c r="AH40" s="115"/>
      <c r="AI40" s="116"/>
      <c r="AJ40" s="116" t="s">
        <v>1</v>
      </c>
      <c r="AK40" s="40">
        <v>1240002</v>
      </c>
      <c r="AL40" s="40"/>
      <c r="AM40" s="40"/>
      <c r="AN40" s="40" t="s">
        <v>379</v>
      </c>
      <c r="AO40" s="70">
        <f>+AO37+AO38-AO39</f>
        <v>2142.8571428571449</v>
      </c>
    </row>
    <row r="41" spans="1:43" x14ac:dyDescent="0.25">
      <c r="A41" s="28">
        <v>20</v>
      </c>
      <c r="B41" s="33">
        <v>44256</v>
      </c>
      <c r="C41" s="31">
        <f t="shared" si="19"/>
        <v>4250</v>
      </c>
      <c r="D41" s="215">
        <v>0.6</v>
      </c>
      <c r="E41" s="31">
        <f t="shared" si="8"/>
        <v>7083.3333333333339</v>
      </c>
      <c r="F41" s="31">
        <f t="shared" si="9"/>
        <v>6738.2955199743492</v>
      </c>
      <c r="G41" s="31">
        <f t="shared" si="7"/>
        <v>6780.974054183489</v>
      </c>
      <c r="H41" s="31">
        <f t="shared" si="10"/>
        <v>101714.6108127523</v>
      </c>
      <c r="I41" s="31">
        <f t="shared" si="11"/>
        <v>264.53745059548703</v>
      </c>
      <c r="J41" s="32">
        <f t="shared" si="12"/>
        <v>106079.51768879029</v>
      </c>
      <c r="K41" s="31"/>
      <c r="L41" s="28">
        <v>8</v>
      </c>
      <c r="M41" s="33">
        <v>44256</v>
      </c>
      <c r="N41" s="31">
        <f t="shared" si="13"/>
        <v>4250</v>
      </c>
      <c r="O41" s="215">
        <v>0.68</v>
      </c>
      <c r="P41" s="31">
        <f t="shared" si="14"/>
        <v>6250</v>
      </c>
      <c r="Q41" s="31">
        <f t="shared" si="15"/>
        <v>6126.394611335616</v>
      </c>
      <c r="R41" s="31">
        <f t="shared" si="16"/>
        <v>6127.4509803921565</v>
      </c>
      <c r="S41" s="31">
        <f t="shared" si="17"/>
        <v>91911.764705882335</v>
      </c>
      <c r="T41" s="31">
        <f t="shared" si="18"/>
        <v>233.41539758425301</v>
      </c>
      <c r="U41" s="32">
        <f t="shared" si="20"/>
        <v>93599.574431285451</v>
      </c>
      <c r="V41" s="31"/>
      <c r="W41" s="28"/>
      <c r="X41" s="33"/>
      <c r="Y41" s="211"/>
      <c r="Z41" s="211"/>
      <c r="AA41" s="31"/>
      <c r="AB41" s="31"/>
      <c r="AC41" s="31"/>
      <c r="AD41" s="31"/>
      <c r="AE41" s="31"/>
      <c r="AF41" s="32"/>
      <c r="AG41" s="31"/>
      <c r="AH41" s="115" t="s">
        <v>376</v>
      </c>
      <c r="AI41" s="116"/>
      <c r="AJ41" s="116"/>
      <c r="AK41" s="40"/>
      <c r="AL41" s="40"/>
      <c r="AM41" s="40"/>
      <c r="AN41" s="40"/>
      <c r="AO41" s="70"/>
    </row>
    <row r="42" spans="1:43" x14ac:dyDescent="0.25">
      <c r="A42" s="28">
        <v>21</v>
      </c>
      <c r="B42" s="33">
        <v>44287</v>
      </c>
      <c r="C42" s="31">
        <f t="shared" si="19"/>
        <v>4250</v>
      </c>
      <c r="D42" s="215">
        <v>0.6</v>
      </c>
      <c r="E42" s="31">
        <f t="shared" si="8"/>
        <v>7083.3333333333339</v>
      </c>
      <c r="F42" s="31">
        <f t="shared" si="9"/>
        <v>6721.4917904981048</v>
      </c>
      <c r="G42" s="31">
        <f t="shared" si="7"/>
        <v>6780.974054183489</v>
      </c>
      <c r="H42" s="31">
        <f t="shared" si="10"/>
        <v>94933.636758568813</v>
      </c>
      <c r="I42" s="31">
        <f t="shared" si="11"/>
        <v>247.49046088864242</v>
      </c>
      <c r="J42" s="32">
        <f t="shared" si="12"/>
        <v>99243.674816345607</v>
      </c>
      <c r="K42" s="31"/>
      <c r="L42" s="28">
        <v>9</v>
      </c>
      <c r="M42" s="33">
        <v>44287</v>
      </c>
      <c r="N42" s="31">
        <f t="shared" si="13"/>
        <v>4250</v>
      </c>
      <c r="O42" s="215">
        <v>0.68</v>
      </c>
      <c r="P42" s="31">
        <f t="shared" si="14"/>
        <v>6250</v>
      </c>
      <c r="Q42" s="31">
        <f t="shared" si="15"/>
        <v>6111.1168192873965</v>
      </c>
      <c r="R42" s="31">
        <f t="shared" si="16"/>
        <v>6127.4509803921565</v>
      </c>
      <c r="S42" s="31">
        <f t="shared" si="17"/>
        <v>85784.313725490181</v>
      </c>
      <c r="T42" s="31">
        <f t="shared" si="18"/>
        <v>218.37393607821363</v>
      </c>
      <c r="U42" s="32">
        <f t="shared" si="20"/>
        <v>87567.948367363671</v>
      </c>
      <c r="V42" s="31"/>
      <c r="W42" s="28"/>
      <c r="X42" s="33"/>
      <c r="Y42" s="211"/>
      <c r="Z42" s="211"/>
      <c r="AA42" s="31"/>
      <c r="AB42" s="31"/>
      <c r="AC42" s="31"/>
      <c r="AD42" s="31"/>
      <c r="AE42" s="31"/>
      <c r="AF42" s="32"/>
      <c r="AG42" s="31"/>
      <c r="AH42" s="115"/>
      <c r="AI42" s="116"/>
      <c r="AJ42" s="116"/>
      <c r="AK42" s="40"/>
      <c r="AL42" s="40"/>
      <c r="AM42" s="40"/>
      <c r="AN42" s="40"/>
      <c r="AO42" s="70"/>
    </row>
    <row r="43" spans="1:43" x14ac:dyDescent="0.25">
      <c r="A43" s="28">
        <v>22</v>
      </c>
      <c r="B43" s="33">
        <v>44317</v>
      </c>
      <c r="C43" s="31">
        <f t="shared" si="19"/>
        <v>4250</v>
      </c>
      <c r="D43" s="215">
        <v>0.6</v>
      </c>
      <c r="E43" s="31">
        <f t="shared" si="8"/>
        <v>7083.3333333333339</v>
      </c>
      <c r="F43" s="31">
        <f t="shared" si="9"/>
        <v>6704.7299655841452</v>
      </c>
      <c r="G43" s="31">
        <f t="shared" si="7"/>
        <v>6780.974054183489</v>
      </c>
      <c r="H43" s="31">
        <f t="shared" si="10"/>
        <v>88152.662704385322</v>
      </c>
      <c r="I43" s="31">
        <f t="shared" si="11"/>
        <v>230.4008537075307</v>
      </c>
      <c r="J43" s="32">
        <f t="shared" si="12"/>
        <v>92390.742336719806</v>
      </c>
      <c r="K43" s="31"/>
      <c r="L43" s="28">
        <v>10</v>
      </c>
      <c r="M43" s="33">
        <v>44317</v>
      </c>
      <c r="N43" s="31">
        <f t="shared" si="13"/>
        <v>4250</v>
      </c>
      <c r="O43" s="215">
        <v>0.68</v>
      </c>
      <c r="P43" s="31">
        <f t="shared" si="14"/>
        <v>6250</v>
      </c>
      <c r="Q43" s="31">
        <f t="shared" si="15"/>
        <v>6095.8771264712195</v>
      </c>
      <c r="R43" s="31">
        <f t="shared" si="16"/>
        <v>6127.4509803921565</v>
      </c>
      <c r="S43" s="31">
        <f t="shared" si="17"/>
        <v>79656.862745098028</v>
      </c>
      <c r="T43" s="31">
        <f t="shared" si="18"/>
        <v>203.29487091840917</v>
      </c>
      <c r="U43" s="32">
        <f t="shared" si="20"/>
        <v>81521.243238282084</v>
      </c>
      <c r="V43" s="31"/>
      <c r="W43" s="28"/>
      <c r="X43" s="33"/>
      <c r="Y43" s="211"/>
      <c r="Z43" s="211"/>
      <c r="AA43" s="31"/>
      <c r="AB43" s="31"/>
      <c r="AC43" s="31"/>
      <c r="AD43" s="31"/>
      <c r="AE43" s="31"/>
      <c r="AF43" s="32"/>
      <c r="AG43" s="31"/>
      <c r="AH43" s="115" t="s">
        <v>118</v>
      </c>
      <c r="AI43" s="135">
        <v>44377</v>
      </c>
      <c r="AJ43" s="135" t="s">
        <v>0</v>
      </c>
      <c r="AK43" s="40">
        <v>2260002</v>
      </c>
      <c r="AL43" s="40"/>
      <c r="AM43" s="40"/>
      <c r="AN43" s="40" t="s">
        <v>380</v>
      </c>
      <c r="AO43" s="70">
        <f>+AO44</f>
        <v>2286.6491317082982</v>
      </c>
    </row>
    <row r="44" spans="1:43" x14ac:dyDescent="0.25">
      <c r="A44" s="28">
        <v>23</v>
      </c>
      <c r="B44" s="33">
        <v>44348</v>
      </c>
      <c r="C44" s="31">
        <f t="shared" si="19"/>
        <v>4250</v>
      </c>
      <c r="D44" s="215">
        <v>0.6</v>
      </c>
      <c r="E44" s="31">
        <f>(+C44/+D44)</f>
        <v>7083.3333333333339</v>
      </c>
      <c r="F44" s="31">
        <f>+E44/(1+H$1)^A44</f>
        <v>6688.0099407323141</v>
      </c>
      <c r="G44" s="31">
        <f t="shared" si="7"/>
        <v>6780.974054183489</v>
      </c>
      <c r="H44" s="31">
        <f t="shared" si="10"/>
        <v>81371.688650201831</v>
      </c>
      <c r="I44" s="31">
        <f t="shared" si="11"/>
        <v>213.26852250846619</v>
      </c>
      <c r="J44" s="32">
        <f t="shared" si="12"/>
        <v>85520.677525894949</v>
      </c>
      <c r="K44" s="31"/>
      <c r="L44" s="28">
        <v>11</v>
      </c>
      <c r="M44" s="33">
        <v>44348</v>
      </c>
      <c r="N44" s="31">
        <f t="shared" si="13"/>
        <v>4250</v>
      </c>
      <c r="O44" s="215">
        <v>0.68</v>
      </c>
      <c r="P44" s="31">
        <f>(N44/+O44)</f>
        <v>6250</v>
      </c>
      <c r="Q44" s="31">
        <f>+P44/(1+H$1)^L44</f>
        <v>6080.675437876529</v>
      </c>
      <c r="R44" s="31">
        <f t="shared" si="16"/>
        <v>6127.4509803921565</v>
      </c>
      <c r="S44" s="30">
        <f t="shared" si="17"/>
        <v>73529.411764705874</v>
      </c>
      <c r="T44" s="31">
        <f>+(U43-P44)*H$1</f>
        <v>188.17810809570523</v>
      </c>
      <c r="U44" s="34">
        <f t="shared" si="20"/>
        <v>75459.421346377785</v>
      </c>
      <c r="V44" s="31"/>
      <c r="W44" s="193"/>
      <c r="X44" s="31"/>
      <c r="Y44" s="31"/>
      <c r="Z44" s="211"/>
      <c r="AA44" s="31"/>
      <c r="AB44" s="31"/>
      <c r="AC44" s="31"/>
      <c r="AD44" s="30">
        <f>+S44</f>
        <v>73529.411764705874</v>
      </c>
      <c r="AE44" s="31"/>
      <c r="AF44" s="34">
        <f>+AB59</f>
        <v>77746.070478086083</v>
      </c>
      <c r="AG44" s="31"/>
      <c r="AH44" s="115"/>
      <c r="AI44" s="135"/>
      <c r="AJ44" s="116" t="s">
        <v>1</v>
      </c>
      <c r="AK44" s="40">
        <v>3240102</v>
      </c>
      <c r="AL44" s="40"/>
      <c r="AM44" s="40"/>
      <c r="AN44" s="40" t="s">
        <v>270</v>
      </c>
      <c r="AO44" s="70">
        <f>+AF44-U44</f>
        <v>2286.6491317082982</v>
      </c>
      <c r="AQ44" s="72"/>
    </row>
    <row r="45" spans="1:43" x14ac:dyDescent="0.25">
      <c r="A45" s="28"/>
      <c r="B45" s="33"/>
      <c r="C45" s="33"/>
      <c r="D45" s="211"/>
      <c r="E45" s="31"/>
      <c r="F45" s="31"/>
      <c r="G45" s="31"/>
      <c r="H45" s="31"/>
      <c r="I45" s="31"/>
      <c r="J45" s="32"/>
      <c r="K45" s="31"/>
      <c r="L45" s="28"/>
      <c r="M45" s="33"/>
      <c r="N45" s="31"/>
      <c r="O45" s="211"/>
      <c r="P45" s="31"/>
      <c r="Q45" s="31"/>
      <c r="R45" s="31"/>
      <c r="S45" s="30"/>
      <c r="T45" s="31"/>
      <c r="U45" s="34"/>
      <c r="V45" s="31"/>
      <c r="W45" s="193"/>
      <c r="X45" s="31"/>
      <c r="Y45" s="31"/>
      <c r="Z45" s="211"/>
      <c r="AA45" s="31"/>
      <c r="AB45" s="31"/>
      <c r="AC45" s="31"/>
      <c r="AD45" s="30"/>
      <c r="AE45" s="31"/>
      <c r="AF45" s="34"/>
      <c r="AG45" s="31"/>
      <c r="AH45" s="115" t="s">
        <v>377</v>
      </c>
      <c r="AI45" s="116"/>
      <c r="AJ45" s="116"/>
      <c r="AK45" s="40"/>
      <c r="AL45" s="40"/>
      <c r="AM45" s="40"/>
      <c r="AN45" s="40"/>
      <c r="AO45" s="70"/>
    </row>
    <row r="46" spans="1:43" ht="14.25" customHeight="1" thickBot="1" x14ac:dyDescent="0.3">
      <c r="A46" s="28"/>
      <c r="B46" s="33"/>
      <c r="C46" s="33"/>
      <c r="D46" s="211"/>
      <c r="E46" s="31"/>
      <c r="F46" s="31"/>
      <c r="G46" s="31"/>
      <c r="H46" s="31"/>
      <c r="I46" s="31"/>
      <c r="J46" s="32"/>
      <c r="K46" s="31"/>
      <c r="L46" s="28"/>
      <c r="M46" s="33"/>
      <c r="N46" s="31"/>
      <c r="O46" s="211"/>
      <c r="P46" s="31"/>
      <c r="Q46" s="31"/>
      <c r="R46" s="31"/>
      <c r="S46" s="30"/>
      <c r="T46" s="31"/>
      <c r="U46" s="34"/>
      <c r="V46" s="31"/>
      <c r="W46" s="28"/>
      <c r="X46" s="33"/>
      <c r="Y46" s="211"/>
      <c r="Z46" s="211"/>
      <c r="AA46" s="31"/>
      <c r="AB46" s="31"/>
      <c r="AC46" s="31"/>
      <c r="AD46" s="30"/>
      <c r="AE46" s="31"/>
      <c r="AF46" s="34"/>
      <c r="AG46" s="31"/>
      <c r="AH46" s="115"/>
      <c r="AI46" s="116"/>
      <c r="AJ46" s="116"/>
      <c r="AK46" s="40"/>
      <c r="AL46" s="40"/>
      <c r="AM46" s="40"/>
      <c r="AN46" s="40"/>
      <c r="AO46" s="70"/>
    </row>
    <row r="47" spans="1:43" x14ac:dyDescent="0.25">
      <c r="A47" s="207">
        <v>24</v>
      </c>
      <c r="B47" s="191">
        <v>44378</v>
      </c>
      <c r="C47" s="192">
        <f>+(C$44*1.02)</f>
        <v>4335</v>
      </c>
      <c r="D47" s="216">
        <v>0.6</v>
      </c>
      <c r="E47" s="192">
        <f>+C47/+D47</f>
        <v>7225</v>
      </c>
      <c r="F47" s="192">
        <f>+E47/(1+H$1)^A47</f>
        <v>6804.7582439371181</v>
      </c>
      <c r="G47" s="192">
        <f t="shared" ref="G47:G58" si="21">+F$59/36</f>
        <v>6780.974054183489</v>
      </c>
      <c r="H47" s="192">
        <f>+H44-G47</f>
        <v>74590.714596018341</v>
      </c>
      <c r="I47" s="192">
        <f>+(J44-E47)*H$1</f>
        <v>195.73919381473738</v>
      </c>
      <c r="J47" s="208">
        <f>+J44-E47+I47</f>
        <v>78491.416719709683</v>
      </c>
      <c r="K47" s="31"/>
      <c r="L47" s="207">
        <v>12</v>
      </c>
      <c r="M47" s="191">
        <v>44378</v>
      </c>
      <c r="N47" s="192">
        <f>52020/12</f>
        <v>4335</v>
      </c>
      <c r="O47" s="216">
        <v>0.68</v>
      </c>
      <c r="P47" s="192">
        <f>(+N47/+O47)</f>
        <v>6374.9999999999991</v>
      </c>
      <c r="Q47" s="192">
        <f>+P47/(1+H$1)^L47</f>
        <v>6186.8218919042974</v>
      </c>
      <c r="R47" s="192">
        <f t="shared" ref="R47:R58" si="22">+(S$21)/24</f>
        <v>6127.4509803921565</v>
      </c>
      <c r="S47" s="192">
        <f>+S44-R47</f>
        <v>67401.96078431372</v>
      </c>
      <c r="T47" s="192">
        <f>+(U44-P47)*H$1</f>
        <v>172.71105336594448</v>
      </c>
      <c r="U47" s="208">
        <f>+U44-P47+T47</f>
        <v>69257.132399743728</v>
      </c>
      <c r="V47" s="31"/>
      <c r="W47" s="207">
        <v>0</v>
      </c>
      <c r="X47" s="191">
        <v>44378</v>
      </c>
      <c r="Y47" s="192">
        <f>52020/12</f>
        <v>4335</v>
      </c>
      <c r="Z47" s="216">
        <v>0.66</v>
      </c>
      <c r="AA47" s="192">
        <f>(+Y47/+Z47)</f>
        <v>6568.181818181818</v>
      </c>
      <c r="AB47" s="192">
        <f>+AA47/(1+H$1)^W47</f>
        <v>6568.181818181818</v>
      </c>
      <c r="AC47" s="192">
        <f>+(S$44)/12</f>
        <v>6127.4509803921565</v>
      </c>
      <c r="AD47" s="192">
        <f>+AD44-AC47</f>
        <v>67401.96078431372</v>
      </c>
      <c r="AE47" s="192">
        <f>+(AB59-AA47)*H$1</f>
        <v>177.94472164976065</v>
      </c>
      <c r="AF47" s="208">
        <f>+AF44-AA47+AE47</f>
        <v>71355.833381554025</v>
      </c>
      <c r="AG47" s="31"/>
      <c r="AH47" s="124" t="s">
        <v>120</v>
      </c>
      <c r="AI47" s="125" t="s">
        <v>107</v>
      </c>
      <c r="AJ47" s="125" t="s">
        <v>0</v>
      </c>
      <c r="AK47" s="51">
        <v>2241002</v>
      </c>
      <c r="AL47" s="51"/>
      <c r="AM47" s="51"/>
      <c r="AN47" s="51" t="s">
        <v>251</v>
      </c>
      <c r="AO47" s="69">
        <f>SUM(AC47:AC58)</f>
        <v>73529.411764705859</v>
      </c>
    </row>
    <row r="48" spans="1:43" x14ac:dyDescent="0.25">
      <c r="A48" s="28">
        <v>25</v>
      </c>
      <c r="B48" s="33">
        <v>44409</v>
      </c>
      <c r="C48" s="31">
        <f t="shared" ref="C48:C58" si="23">+(C$44*1.02)</f>
        <v>4335</v>
      </c>
      <c r="D48" s="215">
        <v>0.6</v>
      </c>
      <c r="E48" s="31">
        <f t="shared" ref="E48:E57" si="24">+C48/+D48</f>
        <v>7225</v>
      </c>
      <c r="F48" s="31">
        <f t="shared" ref="F48:F57" si="25">+E48/(1+H$1)^A48</f>
        <v>6787.7887720070994</v>
      </c>
      <c r="G48" s="31">
        <f t="shared" si="21"/>
        <v>6780.974054183489</v>
      </c>
      <c r="H48" s="31">
        <f t="shared" ref="H48:H58" si="26">+H47-G48</f>
        <v>67809.74054183485</v>
      </c>
      <c r="I48" s="31">
        <f t="shared" ref="I48:I58" si="27">+(J47-E48)*H$1</f>
        <v>178.16604179927421</v>
      </c>
      <c r="J48" s="32">
        <f t="shared" ref="J48:J58" si="28">+J47-E48+I48</f>
        <v>71444.582761508951</v>
      </c>
      <c r="K48" s="31"/>
      <c r="L48" s="28">
        <v>13</v>
      </c>
      <c r="M48" s="33">
        <v>44409</v>
      </c>
      <c r="N48" s="31">
        <f t="shared" ref="N48:N58" si="29">52020/12</f>
        <v>4335</v>
      </c>
      <c r="O48" s="215">
        <v>0.68</v>
      </c>
      <c r="P48" s="31">
        <f t="shared" ref="P48:P57" si="30">(+N48/+O48)</f>
        <v>6374.9999999999991</v>
      </c>
      <c r="Q48" s="31">
        <f t="shared" ref="Q48:Q57" si="31">+P48/(1+H$1)^L48</f>
        <v>6171.3934083833392</v>
      </c>
      <c r="R48" s="31">
        <f t="shared" si="22"/>
        <v>6127.4509803921565</v>
      </c>
      <c r="S48" s="31">
        <f t="shared" ref="S48:S58" si="32">+S47-R48</f>
        <v>61274.509803921566</v>
      </c>
      <c r="T48" s="31">
        <f t="shared" ref="T48:T57" si="33">+(U47-P48)*H$1</f>
        <v>157.20533099935932</v>
      </c>
      <c r="U48" s="32">
        <f t="shared" ref="U48:U58" si="34">+U47-P48+T48</f>
        <v>63039.337730743086</v>
      </c>
      <c r="V48" s="31"/>
      <c r="W48" s="28">
        <v>1</v>
      </c>
      <c r="X48" s="33">
        <v>44409</v>
      </c>
      <c r="Y48" s="31">
        <f t="shared" ref="Y48:Y58" si="35">52020/12</f>
        <v>4335</v>
      </c>
      <c r="Z48" s="215">
        <v>0.66</v>
      </c>
      <c r="AA48" s="31">
        <f t="shared" ref="AA48:AA57" si="36">(+Y48/+Z48)</f>
        <v>6568.181818181818</v>
      </c>
      <c r="AB48" s="31">
        <f t="shared" ref="AB48:AB57" si="37">+AA48/(1+H$1)^W48</f>
        <v>6551.8023124008159</v>
      </c>
      <c r="AC48" s="31">
        <f t="shared" ref="AC48:AC57" si="38">+(S$44)/12</f>
        <v>6127.4509803921565</v>
      </c>
      <c r="AD48" s="31">
        <f t="shared" ref="AD48:AD58" si="39">+AD47-AC48</f>
        <v>61274.509803921566</v>
      </c>
      <c r="AE48" s="31">
        <f t="shared" ref="AE48:AE58" si="40">+(AF47-AA48)*H$1</f>
        <v>161.96912890843052</v>
      </c>
      <c r="AF48" s="32">
        <f t="shared" ref="AF48:AF58" si="41">+AF47-AA48+AE48</f>
        <v>64949.620692280638</v>
      </c>
      <c r="AG48" s="31"/>
      <c r="AH48" s="115"/>
      <c r="AI48" s="116"/>
      <c r="AJ48" s="116" t="s">
        <v>1</v>
      </c>
      <c r="AK48" s="40">
        <v>5311002</v>
      </c>
      <c r="AL48" s="40">
        <v>7353</v>
      </c>
      <c r="AM48" s="40"/>
      <c r="AN48" s="40" t="s">
        <v>105</v>
      </c>
      <c r="AO48" s="70">
        <f>AO47</f>
        <v>73529.411764705859</v>
      </c>
    </row>
    <row r="49" spans="1:41" x14ac:dyDescent="0.25">
      <c r="A49" s="28">
        <v>26</v>
      </c>
      <c r="B49" s="33">
        <v>44440</v>
      </c>
      <c r="C49" s="31">
        <f t="shared" si="23"/>
        <v>4335</v>
      </c>
      <c r="D49" s="215">
        <v>0.6</v>
      </c>
      <c r="E49" s="31">
        <f t="shared" si="24"/>
        <v>7225</v>
      </c>
      <c r="F49" s="31">
        <f t="shared" si="25"/>
        <v>6770.861617962194</v>
      </c>
      <c r="G49" s="31">
        <f t="shared" si="21"/>
        <v>6780.974054183489</v>
      </c>
      <c r="H49" s="31">
        <f t="shared" si="26"/>
        <v>61028.766487651359</v>
      </c>
      <c r="I49" s="31">
        <f t="shared" si="27"/>
        <v>160.54895690377239</v>
      </c>
      <c r="J49" s="32">
        <f t="shared" si="28"/>
        <v>64380.131718412726</v>
      </c>
      <c r="K49" s="31"/>
      <c r="L49" s="28">
        <v>14</v>
      </c>
      <c r="M49" s="33">
        <v>44440</v>
      </c>
      <c r="N49" s="31">
        <f t="shared" si="29"/>
        <v>4335</v>
      </c>
      <c r="O49" s="215">
        <v>0.68</v>
      </c>
      <c r="P49" s="31">
        <f t="shared" si="30"/>
        <v>6374.9999999999991</v>
      </c>
      <c r="Q49" s="31">
        <f t="shared" si="31"/>
        <v>6156.0033998836316</v>
      </c>
      <c r="R49" s="31">
        <f t="shared" si="22"/>
        <v>6127.4509803921565</v>
      </c>
      <c r="S49" s="31">
        <f t="shared" si="32"/>
        <v>55147.058823529413</v>
      </c>
      <c r="T49" s="31">
        <f t="shared" si="33"/>
        <v>141.66084432685773</v>
      </c>
      <c r="U49" s="32">
        <f t="shared" si="34"/>
        <v>56805.998575069942</v>
      </c>
      <c r="V49" s="31"/>
      <c r="W49" s="28">
        <v>2</v>
      </c>
      <c r="X49" s="33">
        <v>44440</v>
      </c>
      <c r="Y49" s="31">
        <f t="shared" si="35"/>
        <v>4335</v>
      </c>
      <c r="Z49" s="215">
        <v>0.66</v>
      </c>
      <c r="AA49" s="31">
        <f t="shared" si="36"/>
        <v>6568.181818181818</v>
      </c>
      <c r="AB49" s="31">
        <f t="shared" si="37"/>
        <v>6535.4636532676477</v>
      </c>
      <c r="AC49" s="31">
        <f t="shared" si="38"/>
        <v>6127.4509803921565</v>
      </c>
      <c r="AD49" s="31">
        <f t="shared" si="39"/>
        <v>55147.058823529413</v>
      </c>
      <c r="AE49" s="31">
        <f t="shared" si="40"/>
        <v>145.95359718524705</v>
      </c>
      <c r="AF49" s="32">
        <f t="shared" si="41"/>
        <v>58527.392471284067</v>
      </c>
      <c r="AG49" s="31"/>
      <c r="AH49" s="115" t="s">
        <v>193</v>
      </c>
      <c r="AI49" s="116"/>
      <c r="AJ49" s="116"/>
      <c r="AK49" s="40"/>
      <c r="AL49" s="40"/>
      <c r="AM49" s="40"/>
      <c r="AN49" s="40"/>
      <c r="AO49" s="70"/>
    </row>
    <row r="50" spans="1:41" x14ac:dyDescent="0.25">
      <c r="A50" s="28">
        <v>27</v>
      </c>
      <c r="B50" s="33">
        <v>44470</v>
      </c>
      <c r="C50" s="31">
        <f t="shared" si="23"/>
        <v>4335</v>
      </c>
      <c r="D50" s="215">
        <v>0.6</v>
      </c>
      <c r="E50" s="31">
        <f t="shared" si="24"/>
        <v>7225</v>
      </c>
      <c r="F50" s="31">
        <f t="shared" si="25"/>
        <v>6753.9766762715162</v>
      </c>
      <c r="G50" s="31">
        <f t="shared" si="21"/>
        <v>6780.974054183489</v>
      </c>
      <c r="H50" s="31">
        <f t="shared" si="26"/>
        <v>54247.792433467868</v>
      </c>
      <c r="I50" s="31">
        <f t="shared" si="27"/>
        <v>142.88782929603181</v>
      </c>
      <c r="J50" s="32">
        <f t="shared" si="28"/>
        <v>57298.019547708755</v>
      </c>
      <c r="K50" s="31"/>
      <c r="L50" s="28">
        <v>15</v>
      </c>
      <c r="M50" s="33">
        <v>44470</v>
      </c>
      <c r="N50" s="31">
        <f t="shared" si="29"/>
        <v>4335</v>
      </c>
      <c r="O50" s="215">
        <v>0.68</v>
      </c>
      <c r="P50" s="31">
        <f t="shared" si="30"/>
        <v>6374.9999999999991</v>
      </c>
      <c r="Q50" s="31">
        <f t="shared" si="31"/>
        <v>6140.6517704574881</v>
      </c>
      <c r="R50" s="31">
        <f t="shared" si="22"/>
        <v>6127.4509803921565</v>
      </c>
      <c r="S50" s="31">
        <f t="shared" si="32"/>
        <v>49019.607843137259</v>
      </c>
      <c r="T50" s="31">
        <f t="shared" si="33"/>
        <v>126.07749643767485</v>
      </c>
      <c r="U50" s="32">
        <f t="shared" si="34"/>
        <v>50557.076071507618</v>
      </c>
      <c r="V50" s="31"/>
      <c r="W50" s="28">
        <v>3</v>
      </c>
      <c r="X50" s="33">
        <v>44470</v>
      </c>
      <c r="Y50" s="31">
        <f t="shared" si="35"/>
        <v>4335</v>
      </c>
      <c r="Z50" s="215">
        <v>0.66</v>
      </c>
      <c r="AA50" s="31">
        <f t="shared" si="36"/>
        <v>6568.181818181818</v>
      </c>
      <c r="AB50" s="31">
        <f t="shared" si="37"/>
        <v>6519.1657389203474</v>
      </c>
      <c r="AC50" s="31">
        <f t="shared" si="38"/>
        <v>6127.4509803921565</v>
      </c>
      <c r="AD50" s="31">
        <f t="shared" si="39"/>
        <v>49019.607843137259</v>
      </c>
      <c r="AE50" s="31">
        <f t="shared" si="40"/>
        <v>129.89802663275563</v>
      </c>
      <c r="AF50" s="32">
        <f t="shared" si="41"/>
        <v>52089.108679735007</v>
      </c>
      <c r="AG50" s="31"/>
      <c r="AH50" s="115"/>
      <c r="AI50" s="116"/>
      <c r="AJ50" s="116"/>
      <c r="AK50" s="40"/>
      <c r="AL50" s="40"/>
      <c r="AM50" s="40"/>
      <c r="AN50" s="40"/>
      <c r="AO50" s="70"/>
    </row>
    <row r="51" spans="1:41" x14ac:dyDescent="0.25">
      <c r="A51" s="28">
        <v>28</v>
      </c>
      <c r="B51" s="33">
        <v>44501</v>
      </c>
      <c r="C51" s="31">
        <f t="shared" si="23"/>
        <v>4335</v>
      </c>
      <c r="D51" s="215">
        <v>0.6</v>
      </c>
      <c r="E51" s="31">
        <f t="shared" si="24"/>
        <v>7225</v>
      </c>
      <c r="F51" s="31">
        <f t="shared" si="25"/>
        <v>6737.133841667348</v>
      </c>
      <c r="G51" s="31">
        <f t="shared" si="21"/>
        <v>6780.974054183489</v>
      </c>
      <c r="H51" s="31">
        <f t="shared" si="26"/>
        <v>47466.818379284377</v>
      </c>
      <c r="I51" s="31">
        <f t="shared" si="27"/>
        <v>125.18254886927188</v>
      </c>
      <c r="J51" s="32">
        <f t="shared" si="28"/>
        <v>50198.202096578025</v>
      </c>
      <c r="K51" s="31"/>
      <c r="L51" s="28">
        <v>16</v>
      </c>
      <c r="M51" s="33">
        <v>44501</v>
      </c>
      <c r="N51" s="31">
        <f t="shared" si="29"/>
        <v>4335</v>
      </c>
      <c r="O51" s="215">
        <v>0.68</v>
      </c>
      <c r="P51" s="31">
        <f t="shared" si="30"/>
        <v>6374.9999999999991</v>
      </c>
      <c r="Q51" s="31">
        <f t="shared" si="31"/>
        <v>6125.3384243964965</v>
      </c>
      <c r="R51" s="31">
        <f t="shared" si="22"/>
        <v>6127.4509803921565</v>
      </c>
      <c r="S51" s="31">
        <f t="shared" si="32"/>
        <v>42892.156862745105</v>
      </c>
      <c r="T51" s="31">
        <f t="shared" si="33"/>
        <v>110.45519017876904</v>
      </c>
      <c r="U51" s="32">
        <f t="shared" si="34"/>
        <v>44292.531261686388</v>
      </c>
      <c r="V51" s="31"/>
      <c r="W51" s="28">
        <v>4</v>
      </c>
      <c r="X51" s="33">
        <v>44501</v>
      </c>
      <c r="Y51" s="31">
        <f t="shared" si="35"/>
        <v>4335</v>
      </c>
      <c r="Z51" s="215">
        <v>0.66</v>
      </c>
      <c r="AA51" s="31">
        <f t="shared" si="36"/>
        <v>6568.181818181818</v>
      </c>
      <c r="AB51" s="31">
        <f t="shared" si="37"/>
        <v>6502.90846775097</v>
      </c>
      <c r="AC51" s="31">
        <f t="shared" si="38"/>
        <v>6127.4509803921565</v>
      </c>
      <c r="AD51" s="31">
        <f t="shared" si="39"/>
        <v>42892.156862745105</v>
      </c>
      <c r="AE51" s="31">
        <f t="shared" si="40"/>
        <v>113.80231715388298</v>
      </c>
      <c r="AF51" s="32">
        <f t="shared" si="41"/>
        <v>45634.729178707072</v>
      </c>
      <c r="AG51" s="31"/>
      <c r="AH51" s="115" t="s">
        <v>122</v>
      </c>
      <c r="AI51" s="116" t="s">
        <v>107</v>
      </c>
      <c r="AJ51" s="116" t="s">
        <v>0</v>
      </c>
      <c r="AK51" s="40">
        <v>3240106</v>
      </c>
      <c r="AL51" s="40"/>
      <c r="AM51" s="40"/>
      <c r="AN51" s="40" t="s">
        <v>271</v>
      </c>
      <c r="AO51" s="70">
        <f>SUM(AA47:AA58)-SUM(AE47:AE58)</f>
        <v>77746.070478086083</v>
      </c>
    </row>
    <row r="52" spans="1:41" x14ac:dyDescent="0.25">
      <c r="A52" s="28">
        <v>29</v>
      </c>
      <c r="B52" s="33">
        <v>44531</v>
      </c>
      <c r="C52" s="31">
        <f t="shared" si="23"/>
        <v>4335</v>
      </c>
      <c r="D52" s="215">
        <v>0.6</v>
      </c>
      <c r="E52" s="31">
        <f t="shared" si="24"/>
        <v>7225</v>
      </c>
      <c r="F52" s="31">
        <f t="shared" si="25"/>
        <v>6720.3330091444859</v>
      </c>
      <c r="G52" s="31">
        <f t="shared" si="21"/>
        <v>6780.974054183489</v>
      </c>
      <c r="H52" s="31">
        <f t="shared" si="26"/>
        <v>40685.844325100887</v>
      </c>
      <c r="I52" s="31">
        <f t="shared" si="27"/>
        <v>107.43300524144506</v>
      </c>
      <c r="J52" s="32">
        <f t="shared" si="28"/>
        <v>43080.635101819469</v>
      </c>
      <c r="K52" s="31"/>
      <c r="L52" s="28">
        <v>17</v>
      </c>
      <c r="M52" s="33">
        <v>44531</v>
      </c>
      <c r="N52" s="31">
        <f t="shared" si="29"/>
        <v>4335</v>
      </c>
      <c r="O52" s="215">
        <v>0.68</v>
      </c>
      <c r="P52" s="31">
        <f t="shared" si="30"/>
        <v>6374.9999999999991</v>
      </c>
      <c r="Q52" s="31">
        <f t="shared" si="31"/>
        <v>6110.0632662309199</v>
      </c>
      <c r="R52" s="31">
        <f t="shared" si="22"/>
        <v>6127.4509803921565</v>
      </c>
      <c r="S52" s="31">
        <f t="shared" si="32"/>
        <v>36764.705882352951</v>
      </c>
      <c r="T52" s="31">
        <f t="shared" si="33"/>
        <v>94.793828154215973</v>
      </c>
      <c r="U52" s="32">
        <f t="shared" si="34"/>
        <v>38012.325089840604</v>
      </c>
      <c r="V52" s="31"/>
      <c r="W52" s="28">
        <v>5</v>
      </c>
      <c r="X52" s="33">
        <v>44531</v>
      </c>
      <c r="Y52" s="31">
        <f t="shared" si="35"/>
        <v>4335</v>
      </c>
      <c r="Z52" s="215">
        <v>0.66</v>
      </c>
      <c r="AA52" s="31">
        <f t="shared" si="36"/>
        <v>6568.181818181818</v>
      </c>
      <c r="AB52" s="31">
        <f t="shared" si="37"/>
        <v>6486.6917384049575</v>
      </c>
      <c r="AC52" s="31">
        <f t="shared" si="38"/>
        <v>6127.4509803921565</v>
      </c>
      <c r="AD52" s="31">
        <f t="shared" si="39"/>
        <v>36764.705882352951</v>
      </c>
      <c r="AE52" s="31">
        <f t="shared" si="40"/>
        <v>97.666368401313136</v>
      </c>
      <c r="AF52" s="32">
        <f t="shared" si="41"/>
        <v>39164.213728926567</v>
      </c>
      <c r="AG52" s="31"/>
      <c r="AH52" s="115"/>
      <c r="AI52" s="116"/>
      <c r="AJ52" s="116" t="s">
        <v>0</v>
      </c>
      <c r="AK52" s="40">
        <v>2422020</v>
      </c>
      <c r="AL52" s="40"/>
      <c r="AM52" s="40"/>
      <c r="AN52" s="40" t="s">
        <v>161</v>
      </c>
      <c r="AO52" s="70">
        <f>SUM(AE47:AE58)</f>
        <v>1072.1113400957468</v>
      </c>
    </row>
    <row r="53" spans="1:41" x14ac:dyDescent="0.25">
      <c r="A53" s="28">
        <v>30</v>
      </c>
      <c r="B53" s="33">
        <v>44562</v>
      </c>
      <c r="C53" s="31">
        <f t="shared" si="23"/>
        <v>4335</v>
      </c>
      <c r="D53" s="215">
        <v>0.6</v>
      </c>
      <c r="E53" s="31">
        <f t="shared" si="24"/>
        <v>7225</v>
      </c>
      <c r="F53" s="31">
        <f t="shared" si="25"/>
        <v>6703.5740739595885</v>
      </c>
      <c r="G53" s="31">
        <f t="shared" si="21"/>
        <v>6780.974054183489</v>
      </c>
      <c r="H53" s="31">
        <f t="shared" si="26"/>
        <v>33904.870270917396</v>
      </c>
      <c r="I53" s="31">
        <f t="shared" si="27"/>
        <v>89.639087754548669</v>
      </c>
      <c r="J53" s="32">
        <f t="shared" si="28"/>
        <v>35945.274189574018</v>
      </c>
      <c r="K53" s="31"/>
      <c r="L53" s="28">
        <v>18</v>
      </c>
      <c r="M53" s="33">
        <v>44562</v>
      </c>
      <c r="N53" s="31">
        <f t="shared" si="29"/>
        <v>4335</v>
      </c>
      <c r="O53" s="215">
        <v>0.68</v>
      </c>
      <c r="P53" s="31">
        <f t="shared" si="30"/>
        <v>6374.9999999999991</v>
      </c>
      <c r="Q53" s="31">
        <f t="shared" si="31"/>
        <v>6094.8262007290969</v>
      </c>
      <c r="R53" s="31">
        <f t="shared" si="22"/>
        <v>6127.4509803921565</v>
      </c>
      <c r="S53" s="31">
        <f t="shared" si="32"/>
        <v>30637.254901960794</v>
      </c>
      <c r="T53" s="31">
        <f t="shared" si="33"/>
        <v>79.093312724601518</v>
      </c>
      <c r="U53" s="32">
        <f t="shared" si="34"/>
        <v>31716.418402565207</v>
      </c>
      <c r="V53" s="31"/>
      <c r="W53" s="28">
        <v>6</v>
      </c>
      <c r="X53" s="33">
        <v>44562</v>
      </c>
      <c r="Y53" s="31">
        <f t="shared" si="35"/>
        <v>4335</v>
      </c>
      <c r="Z53" s="215">
        <v>0.66</v>
      </c>
      <c r="AA53" s="31">
        <f t="shared" si="36"/>
        <v>6568.181818181818</v>
      </c>
      <c r="AB53" s="31">
        <f t="shared" si="37"/>
        <v>6470.5154497805079</v>
      </c>
      <c r="AC53" s="31">
        <f t="shared" si="38"/>
        <v>6127.4509803921565</v>
      </c>
      <c r="AD53" s="31">
        <f t="shared" si="39"/>
        <v>30637.254901960794</v>
      </c>
      <c r="AE53" s="31">
        <f t="shared" si="40"/>
        <v>81.490079776861876</v>
      </c>
      <c r="AF53" s="32">
        <f t="shared" si="41"/>
        <v>32677.521990521611</v>
      </c>
      <c r="AG53" s="31"/>
      <c r="AH53" s="115"/>
      <c r="AI53" s="116"/>
      <c r="AJ53" s="116" t="s">
        <v>0</v>
      </c>
      <c r="AK53" s="40">
        <v>2260002</v>
      </c>
      <c r="AL53" s="40"/>
      <c r="AM53" s="40"/>
      <c r="AN53" s="40" t="s">
        <v>380</v>
      </c>
      <c r="AO53" s="70">
        <f>+AO54-AO51-AO52</f>
        <v>2463.0681818181702</v>
      </c>
    </row>
    <row r="54" spans="1:41" x14ac:dyDescent="0.25">
      <c r="A54" s="28">
        <v>31</v>
      </c>
      <c r="B54" s="33">
        <v>44593</v>
      </c>
      <c r="C54" s="31">
        <f t="shared" si="23"/>
        <v>4335</v>
      </c>
      <c r="D54" s="215">
        <v>0.6</v>
      </c>
      <c r="E54" s="31">
        <f t="shared" si="24"/>
        <v>7225</v>
      </c>
      <c r="F54" s="31">
        <f t="shared" si="25"/>
        <v>6686.8569316305138</v>
      </c>
      <c r="G54" s="31">
        <f t="shared" si="21"/>
        <v>6780.974054183489</v>
      </c>
      <c r="H54" s="31">
        <f t="shared" si="26"/>
        <v>27123.896216733905</v>
      </c>
      <c r="I54" s="31">
        <f t="shared" si="27"/>
        <v>71.800685473935047</v>
      </c>
      <c r="J54" s="32">
        <f t="shared" si="28"/>
        <v>28792.074875047954</v>
      </c>
      <c r="K54" s="31"/>
      <c r="L54" s="28">
        <v>19</v>
      </c>
      <c r="M54" s="33">
        <v>44593</v>
      </c>
      <c r="N54" s="31">
        <f t="shared" si="29"/>
        <v>4335</v>
      </c>
      <c r="O54" s="215">
        <v>0.68</v>
      </c>
      <c r="P54" s="31">
        <f t="shared" si="30"/>
        <v>6374.9999999999991</v>
      </c>
      <c r="Q54" s="31">
        <f t="shared" si="31"/>
        <v>6079.6271328968551</v>
      </c>
      <c r="R54" s="31">
        <f t="shared" si="22"/>
        <v>6127.4509803921565</v>
      </c>
      <c r="S54" s="31">
        <f t="shared" si="32"/>
        <v>24509.803921568637</v>
      </c>
      <c r="T54" s="31">
        <f t="shared" si="33"/>
        <v>63.353546006413019</v>
      </c>
      <c r="U54" s="32">
        <f t="shared" si="34"/>
        <v>25404.771948571619</v>
      </c>
      <c r="V54" s="31"/>
      <c r="W54" s="28">
        <v>7</v>
      </c>
      <c r="X54" s="33">
        <v>44593</v>
      </c>
      <c r="Y54" s="31">
        <f t="shared" si="35"/>
        <v>4335</v>
      </c>
      <c r="Z54" s="215">
        <v>0.66</v>
      </c>
      <c r="AA54" s="31">
        <f t="shared" si="36"/>
        <v>6568.181818181818</v>
      </c>
      <c r="AB54" s="31">
        <f t="shared" si="37"/>
        <v>6454.3795010279382</v>
      </c>
      <c r="AC54" s="31">
        <f t="shared" si="38"/>
        <v>6127.4509803921565</v>
      </c>
      <c r="AD54" s="31">
        <f t="shared" si="39"/>
        <v>24509.803921568637</v>
      </c>
      <c r="AE54" s="31">
        <f t="shared" si="40"/>
        <v>65.273350430849476</v>
      </c>
      <c r="AF54" s="32">
        <f t="shared" si="41"/>
        <v>26174.61352277064</v>
      </c>
      <c r="AG54" s="29"/>
      <c r="AH54" s="115"/>
      <c r="AI54" s="116"/>
      <c r="AJ54" s="116" t="s">
        <v>1</v>
      </c>
      <c r="AK54" s="40"/>
      <c r="AL54" s="40"/>
      <c r="AM54" s="40"/>
      <c r="AN54" s="40" t="s">
        <v>31</v>
      </c>
      <c r="AO54" s="70">
        <f>+((50000*1.02*1.02)/0.64)</f>
        <v>81281.25</v>
      </c>
    </row>
    <row r="55" spans="1:41" x14ac:dyDescent="0.25">
      <c r="A55" s="28">
        <v>32</v>
      </c>
      <c r="B55" s="33">
        <v>44621</v>
      </c>
      <c r="C55" s="31">
        <f t="shared" si="23"/>
        <v>4335</v>
      </c>
      <c r="D55" s="215">
        <v>0.6</v>
      </c>
      <c r="E55" s="31">
        <f t="shared" si="24"/>
        <v>7225</v>
      </c>
      <c r="F55" s="31">
        <f t="shared" si="25"/>
        <v>6670.1814779356728</v>
      </c>
      <c r="G55" s="31">
        <f t="shared" si="21"/>
        <v>6780.974054183489</v>
      </c>
      <c r="H55" s="31">
        <f t="shared" si="26"/>
        <v>20342.922162550414</v>
      </c>
      <c r="I55" s="31">
        <f t="shared" si="27"/>
        <v>53.91768718761989</v>
      </c>
      <c r="J55" s="32">
        <f t="shared" si="28"/>
        <v>21620.992562235573</v>
      </c>
      <c r="K55" s="31"/>
      <c r="L55" s="28">
        <v>20</v>
      </c>
      <c r="M55" s="33">
        <v>44621</v>
      </c>
      <c r="N55" s="31">
        <f t="shared" si="29"/>
        <v>4335</v>
      </c>
      <c r="O55" s="215">
        <v>0.68</v>
      </c>
      <c r="P55" s="31">
        <f t="shared" si="30"/>
        <v>6374.9999999999991</v>
      </c>
      <c r="Q55" s="31">
        <f t="shared" si="31"/>
        <v>6064.4659679769129</v>
      </c>
      <c r="R55" s="31">
        <f t="shared" si="22"/>
        <v>6127.4509803921565</v>
      </c>
      <c r="S55" s="31">
        <f t="shared" si="32"/>
        <v>18382.352941176479</v>
      </c>
      <c r="T55" s="31">
        <f t="shared" si="33"/>
        <v>47.574429871429047</v>
      </c>
      <c r="U55" s="32">
        <f t="shared" si="34"/>
        <v>19077.34637844305</v>
      </c>
      <c r="V55" s="31"/>
      <c r="W55" s="28">
        <v>8</v>
      </c>
      <c r="X55" s="33">
        <v>44621</v>
      </c>
      <c r="Y55" s="31">
        <f t="shared" si="35"/>
        <v>4335</v>
      </c>
      <c r="Z55" s="215">
        <v>0.66</v>
      </c>
      <c r="AA55" s="31">
        <f t="shared" si="36"/>
        <v>6568.181818181818</v>
      </c>
      <c r="AB55" s="31">
        <f t="shared" si="37"/>
        <v>6438.2837915490645</v>
      </c>
      <c r="AC55" s="31">
        <f t="shared" si="38"/>
        <v>6127.4509803921565</v>
      </c>
      <c r="AD55" s="31">
        <f t="shared" si="39"/>
        <v>18382.352941176479</v>
      </c>
      <c r="AE55" s="31">
        <f t="shared" si="40"/>
        <v>49.016079261472058</v>
      </c>
      <c r="AF55" s="32">
        <f t="shared" si="41"/>
        <v>19655.447783850297</v>
      </c>
      <c r="AG55" s="29"/>
      <c r="AH55" s="115" t="s">
        <v>378</v>
      </c>
      <c r="AI55" s="116"/>
      <c r="AJ55" s="116"/>
      <c r="AK55" s="40"/>
      <c r="AL55" s="40"/>
      <c r="AM55" s="40"/>
      <c r="AN55" s="40"/>
      <c r="AO55" s="70"/>
    </row>
    <row r="56" spans="1:41" x14ac:dyDescent="0.25">
      <c r="A56" s="28">
        <v>33</v>
      </c>
      <c r="B56" s="33">
        <v>44652</v>
      </c>
      <c r="C56" s="31">
        <f t="shared" si="23"/>
        <v>4335</v>
      </c>
      <c r="D56" s="215">
        <v>0.6</v>
      </c>
      <c r="E56" s="31">
        <f t="shared" si="24"/>
        <v>7225</v>
      </c>
      <c r="F56" s="31">
        <f t="shared" si="25"/>
        <v>6653.5476089133899</v>
      </c>
      <c r="G56" s="31">
        <f t="shared" si="21"/>
        <v>6780.974054183489</v>
      </c>
      <c r="H56" s="31">
        <f t="shared" si="26"/>
        <v>13561.948108366925</v>
      </c>
      <c r="I56" s="31">
        <f t="shared" si="27"/>
        <v>35.989981405588935</v>
      </c>
      <c r="J56" s="32">
        <f t="shared" si="28"/>
        <v>14431.982543641163</v>
      </c>
      <c r="K56" s="31"/>
      <c r="L56" s="28">
        <v>21</v>
      </c>
      <c r="M56" s="33">
        <v>44652</v>
      </c>
      <c r="N56" s="31">
        <f t="shared" si="29"/>
        <v>4335</v>
      </c>
      <c r="O56" s="215">
        <v>0.68</v>
      </c>
      <c r="P56" s="31">
        <f t="shared" si="30"/>
        <v>6374.9999999999991</v>
      </c>
      <c r="Q56" s="31">
        <f t="shared" si="31"/>
        <v>6049.3426114482927</v>
      </c>
      <c r="R56" s="31">
        <f t="shared" si="22"/>
        <v>6127.4509803921565</v>
      </c>
      <c r="S56" s="31">
        <f t="shared" si="32"/>
        <v>12254.901960784322</v>
      </c>
      <c r="T56" s="31">
        <f t="shared" si="33"/>
        <v>31.755865946107626</v>
      </c>
      <c r="U56" s="32">
        <f t="shared" si="34"/>
        <v>12734.102244389158</v>
      </c>
      <c r="V56" s="31"/>
      <c r="W56" s="28">
        <v>9</v>
      </c>
      <c r="X56" s="33">
        <v>44652</v>
      </c>
      <c r="Y56" s="31">
        <f t="shared" si="35"/>
        <v>4335</v>
      </c>
      <c r="Z56" s="215">
        <v>0.66</v>
      </c>
      <c r="AA56" s="31">
        <f t="shared" si="36"/>
        <v>6568.181818181818</v>
      </c>
      <c r="AB56" s="31">
        <f t="shared" si="37"/>
        <v>6422.2282209965733</v>
      </c>
      <c r="AC56" s="31">
        <f t="shared" si="38"/>
        <v>6127.4509803921565</v>
      </c>
      <c r="AD56" s="31">
        <f t="shared" si="39"/>
        <v>12254.901960784322</v>
      </c>
      <c r="AE56" s="31">
        <f t="shared" si="40"/>
        <v>32.718164914171197</v>
      </c>
      <c r="AF56" s="32">
        <f t="shared" si="41"/>
        <v>13119.98413058265</v>
      </c>
      <c r="AG56" s="29"/>
      <c r="AH56" s="115"/>
      <c r="AI56" s="116"/>
      <c r="AJ56" s="116"/>
      <c r="AK56" s="40"/>
      <c r="AL56" s="40"/>
      <c r="AM56" s="40"/>
      <c r="AN56" s="40"/>
      <c r="AO56" s="70"/>
    </row>
    <row r="57" spans="1:41" x14ac:dyDescent="0.25">
      <c r="A57" s="28">
        <v>34</v>
      </c>
      <c r="B57" s="33">
        <v>44682</v>
      </c>
      <c r="C57" s="31">
        <f t="shared" si="23"/>
        <v>4335</v>
      </c>
      <c r="D57" s="215">
        <v>0.6</v>
      </c>
      <c r="E57" s="31">
        <f t="shared" si="24"/>
        <v>7225</v>
      </c>
      <c r="F57" s="31">
        <f t="shared" si="25"/>
        <v>6636.9552208612376</v>
      </c>
      <c r="G57" s="31">
        <f t="shared" si="21"/>
        <v>6780.974054183489</v>
      </c>
      <c r="H57" s="31">
        <f t="shared" si="26"/>
        <v>6780.9740541834362</v>
      </c>
      <c r="I57" s="31">
        <f t="shared" si="27"/>
        <v>18.017456359102908</v>
      </c>
      <c r="J57" s="32">
        <f t="shared" si="28"/>
        <v>7225.0000000002656</v>
      </c>
      <c r="K57" s="31"/>
      <c r="L57" s="28">
        <v>22</v>
      </c>
      <c r="M57" s="33">
        <v>44682</v>
      </c>
      <c r="N57" s="31">
        <f t="shared" si="29"/>
        <v>4335</v>
      </c>
      <c r="O57" s="215">
        <v>0.68</v>
      </c>
      <c r="P57" s="31">
        <f t="shared" si="30"/>
        <v>6374.9999999999991</v>
      </c>
      <c r="Q57" s="31">
        <f t="shared" si="31"/>
        <v>6034.2569690257296</v>
      </c>
      <c r="R57" s="31">
        <f t="shared" si="22"/>
        <v>6127.4509803921565</v>
      </c>
      <c r="S57" s="31">
        <f t="shared" si="32"/>
        <v>6127.4509803921655</v>
      </c>
      <c r="T57" s="31">
        <f t="shared" si="33"/>
        <v>15.897755610972897</v>
      </c>
      <c r="U57" s="32">
        <f t="shared" si="34"/>
        <v>6375.0000000001319</v>
      </c>
      <c r="V57" s="31"/>
      <c r="W57" s="28">
        <v>10</v>
      </c>
      <c r="X57" s="33">
        <v>44682</v>
      </c>
      <c r="Y57" s="31">
        <f t="shared" si="35"/>
        <v>4335</v>
      </c>
      <c r="Z57" s="215">
        <v>0.66</v>
      </c>
      <c r="AA57" s="31">
        <f t="shared" si="36"/>
        <v>6568.181818181818</v>
      </c>
      <c r="AB57" s="31">
        <f t="shared" si="37"/>
        <v>6406.2126892733904</v>
      </c>
      <c r="AC57" s="31">
        <f t="shared" si="38"/>
        <v>6127.4509803921565</v>
      </c>
      <c r="AD57" s="31">
        <f t="shared" si="39"/>
        <v>6127.4509803921655</v>
      </c>
      <c r="AE57" s="31">
        <f t="shared" si="40"/>
        <v>16.379505781002081</v>
      </c>
      <c r="AF57" s="32">
        <f t="shared" si="41"/>
        <v>6568.1818181818344</v>
      </c>
      <c r="AG57" s="29"/>
      <c r="AH57" s="115"/>
      <c r="AI57" s="116"/>
      <c r="AJ57" s="116"/>
      <c r="AK57" s="40"/>
      <c r="AL57" s="40"/>
      <c r="AM57" s="40"/>
      <c r="AN57" s="40"/>
      <c r="AO57" s="70"/>
    </row>
    <row r="58" spans="1:41" x14ac:dyDescent="0.25">
      <c r="A58" s="28">
        <v>35</v>
      </c>
      <c r="B58" s="33">
        <v>44713</v>
      </c>
      <c r="C58" s="31">
        <f t="shared" si="23"/>
        <v>4335</v>
      </c>
      <c r="D58" s="215">
        <v>0.6</v>
      </c>
      <c r="E58" s="31">
        <f>+C58/+D58</f>
        <v>7225</v>
      </c>
      <c r="F58" s="31">
        <f>+E58/(1+H$1)^A58</f>
        <v>6620.4042103353995</v>
      </c>
      <c r="G58" s="31">
        <f t="shared" si="21"/>
        <v>6780.974054183489</v>
      </c>
      <c r="H58" s="31">
        <f t="shared" si="26"/>
        <v>-5.2750692702829838E-11</v>
      </c>
      <c r="I58" s="31">
        <f t="shared" si="27"/>
        <v>6.639311322942376E-13</v>
      </c>
      <c r="J58" s="32">
        <f t="shared" si="28"/>
        <v>2.662363840499893E-10</v>
      </c>
      <c r="K58" s="31"/>
      <c r="L58" s="28">
        <v>23</v>
      </c>
      <c r="M58" s="33">
        <v>44713</v>
      </c>
      <c r="N58" s="31">
        <f t="shared" si="29"/>
        <v>4335</v>
      </c>
      <c r="O58" s="215">
        <v>0.68</v>
      </c>
      <c r="P58" s="31">
        <f>(+N58/+O58)</f>
        <v>6374.9999999999991</v>
      </c>
      <c r="Q58" s="31">
        <f>+P58/(1+H$1)^L58</f>
        <v>6019.2089466590814</v>
      </c>
      <c r="R58" s="31">
        <f t="shared" si="22"/>
        <v>6127.4509803921565</v>
      </c>
      <c r="S58" s="31">
        <f t="shared" si="32"/>
        <v>9.0949470177292824E-12</v>
      </c>
      <c r="T58" s="31">
        <f>+(U57-P58)*H$1</f>
        <v>3.319655661471188E-13</v>
      </c>
      <c r="U58" s="32">
        <f t="shared" si="34"/>
        <v>1.3311819202499465E-10</v>
      </c>
      <c r="V58" s="31"/>
      <c r="W58" s="28">
        <v>11</v>
      </c>
      <c r="X58" s="33">
        <v>44713</v>
      </c>
      <c r="Y58" s="31">
        <f t="shared" si="35"/>
        <v>4335</v>
      </c>
      <c r="Z58" s="215">
        <v>0.66</v>
      </c>
      <c r="AA58" s="31">
        <f>(+Y58/+Z58)</f>
        <v>6568.181818181818</v>
      </c>
      <c r="AB58" s="31">
        <f>+AA58/(1+H$1)^W58</f>
        <v>6390.2370965320615</v>
      </c>
      <c r="AC58" s="31">
        <f>+(S$44)/12</f>
        <v>6127.4509803921565</v>
      </c>
      <c r="AD58" s="31">
        <f t="shared" si="39"/>
        <v>9.0949470177292824E-12</v>
      </c>
      <c r="AE58" s="31">
        <f t="shared" si="40"/>
        <v>4.0927261579781769E-14</v>
      </c>
      <c r="AF58" s="32">
        <f t="shared" si="41"/>
        <v>1.6411831893492492E-11</v>
      </c>
      <c r="AG58" s="29"/>
      <c r="AH58" s="115"/>
      <c r="AI58" s="116"/>
      <c r="AJ58" s="116"/>
      <c r="AK58" s="40"/>
      <c r="AL58" s="40"/>
      <c r="AM58" s="40"/>
      <c r="AN58" s="40"/>
      <c r="AO58" s="70"/>
    </row>
    <row r="59" spans="1:41" ht="15.75" thickBot="1" x14ac:dyDescent="0.3">
      <c r="A59" s="35"/>
      <c r="B59" s="36"/>
      <c r="C59" s="36"/>
      <c r="D59" s="213"/>
      <c r="E59" s="37">
        <f>SUM(E10:E58)</f>
        <v>255033.33333333337</v>
      </c>
      <c r="F59" s="37">
        <f>SUM(F10:F58)</f>
        <v>244115.06595060561</v>
      </c>
      <c r="G59" s="37">
        <f>SUM(G10:G58)</f>
        <v>244115.06595060564</v>
      </c>
      <c r="H59" s="36"/>
      <c r="I59" s="37">
        <f>SUM(I10:I58)</f>
        <v>10918.267382727958</v>
      </c>
      <c r="J59" s="38"/>
      <c r="K59" s="29"/>
      <c r="L59" s="35"/>
      <c r="M59" s="36"/>
      <c r="N59" s="213"/>
      <c r="O59" s="213"/>
      <c r="P59" s="37">
        <f>SUM(P33:P58)</f>
        <v>151500</v>
      </c>
      <c r="Q59" s="37">
        <f>SUM(Q33:Q58)</f>
        <v>147211.82483938205</v>
      </c>
      <c r="R59" s="37">
        <f>SUM(R33:R58)</f>
        <v>147058.82352941175</v>
      </c>
      <c r="S59" s="36"/>
      <c r="T59" s="37">
        <f>SUM(T33:T58)</f>
        <v>4288.175160618056</v>
      </c>
      <c r="U59" s="38"/>
      <c r="V59" s="29"/>
      <c r="W59" s="35"/>
      <c r="X59" s="36"/>
      <c r="Y59" s="213"/>
      <c r="Z59" s="213"/>
      <c r="AA59" s="37">
        <f>SUM(AA10:AA58)</f>
        <v>78818.181818181823</v>
      </c>
      <c r="AB59" s="37">
        <f>SUM(AB10:AB58)</f>
        <v>77746.070478086083</v>
      </c>
      <c r="AC59" s="37">
        <f>SUM(AC10:AC58)</f>
        <v>73529.411764705859</v>
      </c>
      <c r="AD59" s="36"/>
      <c r="AE59" s="37">
        <f>SUM(AE10:AE58)</f>
        <v>1072.1113400957468</v>
      </c>
      <c r="AF59" s="38"/>
      <c r="AG59" s="29"/>
      <c r="AH59" s="115"/>
      <c r="AI59" s="116"/>
      <c r="AJ59" s="116"/>
      <c r="AK59" s="40"/>
      <c r="AL59" s="40"/>
      <c r="AM59" s="40"/>
      <c r="AN59" s="40"/>
      <c r="AO59" s="70"/>
    </row>
    <row r="60" spans="1:41" ht="9.75" customHeight="1" thickBot="1" x14ac:dyDescent="0.3">
      <c r="A60" s="29"/>
      <c r="B60" s="29"/>
      <c r="C60" s="29"/>
      <c r="D60" s="214"/>
      <c r="E60" s="30"/>
      <c r="F60" s="30"/>
      <c r="G60" s="30"/>
      <c r="H60" s="29"/>
      <c r="I60" s="30"/>
      <c r="J60" s="29"/>
      <c r="K60" s="29"/>
      <c r="L60" s="29"/>
      <c r="M60" s="29"/>
      <c r="N60" s="214"/>
      <c r="O60" s="214"/>
      <c r="P60" s="30"/>
      <c r="Q60" s="30"/>
      <c r="R60" s="30"/>
      <c r="S60" s="29"/>
      <c r="T60" s="30"/>
      <c r="U60" s="29"/>
      <c r="V60" s="29"/>
      <c r="W60" s="29"/>
      <c r="X60" s="29"/>
      <c r="Y60" s="214"/>
      <c r="Z60" s="214"/>
      <c r="AA60" s="30"/>
      <c r="AB60" s="30"/>
      <c r="AC60" s="30"/>
      <c r="AD60" s="29"/>
      <c r="AE60" s="30"/>
      <c r="AF60" s="29"/>
      <c r="AG60" s="29"/>
      <c r="AH60" s="198"/>
      <c r="AI60" s="198"/>
      <c r="AJ60" s="198"/>
      <c r="AK60" s="111"/>
      <c r="AL60" s="111"/>
      <c r="AM60" s="111"/>
      <c r="AN60" s="111"/>
      <c r="AO60" s="112"/>
    </row>
    <row r="61" spans="1:41" x14ac:dyDescent="0.25">
      <c r="A61" s="332" t="s">
        <v>278</v>
      </c>
      <c r="B61" s="333"/>
      <c r="C61" s="333"/>
      <c r="D61" s="333"/>
      <c r="E61" s="333"/>
      <c r="F61" s="333"/>
      <c r="G61" s="333"/>
      <c r="H61" s="333"/>
      <c r="I61" s="333"/>
      <c r="J61" s="333"/>
      <c r="K61" s="333"/>
      <c r="L61" s="333"/>
      <c r="M61" s="333"/>
      <c r="N61" s="333"/>
      <c r="O61" s="333"/>
      <c r="P61" s="333"/>
      <c r="Q61" s="333"/>
      <c r="R61" s="333"/>
      <c r="S61" s="333"/>
      <c r="T61" s="333"/>
      <c r="U61" s="333"/>
      <c r="V61" s="333"/>
      <c r="W61" s="333"/>
      <c r="X61" s="333"/>
      <c r="Y61" s="333"/>
      <c r="Z61" s="333"/>
      <c r="AA61" s="333"/>
      <c r="AB61" s="333"/>
      <c r="AC61" s="333"/>
      <c r="AD61" s="333"/>
      <c r="AE61" s="333"/>
      <c r="AF61" s="333"/>
      <c r="AG61" s="333"/>
      <c r="AH61" s="333"/>
      <c r="AI61" s="333"/>
      <c r="AJ61" s="333"/>
      <c r="AK61" s="333"/>
      <c r="AL61" s="333"/>
      <c r="AM61" s="333"/>
      <c r="AN61" s="333"/>
      <c r="AO61" s="334"/>
    </row>
    <row r="62" spans="1:41" ht="15" customHeight="1" x14ac:dyDescent="0.25">
      <c r="A62" s="317" t="s">
        <v>442</v>
      </c>
      <c r="B62" s="318"/>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9"/>
    </row>
    <row r="63" spans="1:41" ht="4.5" customHeight="1" thickBot="1" x14ac:dyDescent="0.3">
      <c r="A63" s="396"/>
      <c r="B63" s="397"/>
      <c r="C63" s="397"/>
      <c r="D63" s="397"/>
      <c r="E63" s="397"/>
      <c r="F63" s="397"/>
      <c r="G63" s="397"/>
      <c r="H63" s="397"/>
      <c r="I63" s="397"/>
      <c r="J63" s="397"/>
      <c r="K63" s="397"/>
      <c r="L63" s="397"/>
      <c r="M63" s="397"/>
      <c r="N63" s="397"/>
      <c r="O63" s="397"/>
      <c r="P63" s="397"/>
      <c r="Q63" s="397"/>
      <c r="R63" s="397"/>
      <c r="S63" s="397"/>
      <c r="T63" s="397"/>
      <c r="U63" s="397"/>
      <c r="V63" s="397"/>
      <c r="W63" s="397"/>
      <c r="X63" s="397"/>
      <c r="Y63" s="397"/>
      <c r="Z63" s="397"/>
      <c r="AA63" s="397"/>
      <c r="AB63" s="397"/>
      <c r="AC63" s="397"/>
      <c r="AD63" s="397"/>
      <c r="AE63" s="397"/>
      <c r="AF63" s="397"/>
      <c r="AG63" s="397"/>
      <c r="AH63" s="397"/>
      <c r="AI63" s="397"/>
      <c r="AJ63" s="397"/>
      <c r="AK63" s="397"/>
      <c r="AL63" s="397"/>
      <c r="AM63" s="397"/>
      <c r="AN63" s="397"/>
      <c r="AO63" s="398"/>
    </row>
    <row r="64" spans="1:41" ht="9.75" customHeight="1" thickBot="1" x14ac:dyDescent="0.3">
      <c r="AH64" s="197"/>
      <c r="AI64" s="197"/>
      <c r="AJ64" s="184"/>
      <c r="AK64" s="184"/>
      <c r="AL64" s="184"/>
      <c r="AM64" s="184"/>
      <c r="AN64" s="184"/>
      <c r="AO64" s="75"/>
    </row>
    <row r="65" spans="1:41" s="107" customFormat="1" x14ac:dyDescent="0.25">
      <c r="A65" s="439"/>
      <c r="B65" s="440"/>
      <c r="C65" s="440"/>
      <c r="D65" s="440"/>
      <c r="E65" s="440"/>
      <c r="F65" s="440"/>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0"/>
      <c r="AK65" s="440"/>
      <c r="AL65" s="440"/>
      <c r="AM65" s="440"/>
      <c r="AN65" s="440"/>
      <c r="AO65" s="441"/>
    </row>
    <row r="66" spans="1:41" s="107" customFormat="1" x14ac:dyDescent="0.25">
      <c r="A66" s="308" t="s">
        <v>359</v>
      </c>
      <c r="B66" s="309"/>
      <c r="C66" s="309"/>
      <c r="D66" s="309"/>
      <c r="E66" s="309"/>
      <c r="F66" s="309"/>
      <c r="G66" s="309"/>
      <c r="H66" s="309"/>
      <c r="I66" s="309"/>
      <c r="J66" s="309"/>
      <c r="K66" s="309"/>
      <c r="L66" s="309"/>
      <c r="M66" s="309"/>
      <c r="N66" s="309"/>
      <c r="O66" s="309"/>
      <c r="P66" s="309"/>
      <c r="Q66" s="309"/>
      <c r="R66" s="309"/>
      <c r="S66" s="309"/>
      <c r="T66" s="309"/>
      <c r="U66" s="309"/>
      <c r="V66" s="309"/>
      <c r="W66" s="309"/>
      <c r="X66" s="309"/>
      <c r="Y66" s="309"/>
      <c r="Z66" s="309"/>
      <c r="AA66" s="309"/>
      <c r="AB66" s="309"/>
      <c r="AC66" s="309"/>
      <c r="AD66" s="309"/>
      <c r="AE66" s="309"/>
      <c r="AF66" s="309"/>
      <c r="AG66" s="309"/>
      <c r="AH66" s="309"/>
      <c r="AI66" s="309"/>
      <c r="AJ66" s="309"/>
      <c r="AK66" s="309"/>
      <c r="AL66" s="309"/>
      <c r="AM66" s="309"/>
      <c r="AN66" s="309"/>
      <c r="AO66" s="310"/>
    </row>
    <row r="67" spans="1:41" s="107" customFormat="1" x14ac:dyDescent="0.25">
      <c r="A67" s="311"/>
      <c r="B67" s="312"/>
      <c r="C67" s="312"/>
      <c r="D67" s="312"/>
      <c r="E67" s="312"/>
      <c r="F67" s="312"/>
      <c r="G67" s="312"/>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2"/>
      <c r="AO67" s="313"/>
    </row>
    <row r="68" spans="1:41" s="107" customFormat="1" x14ac:dyDescent="0.25">
      <c r="A68" s="287" t="s">
        <v>381</v>
      </c>
      <c r="B68" s="288"/>
      <c r="C68" s="288"/>
      <c r="D68" s="288"/>
      <c r="E68" s="288"/>
      <c r="F68" s="288"/>
      <c r="G68" s="288"/>
      <c r="H68" s="288"/>
      <c r="I68" s="288"/>
      <c r="J68" s="288"/>
      <c r="K68" s="288"/>
      <c r="L68" s="288"/>
      <c r="M68" s="288"/>
      <c r="N68" s="288"/>
      <c r="O68" s="288"/>
      <c r="P68" s="288"/>
      <c r="Q68" s="288"/>
      <c r="R68" s="288"/>
      <c r="S68" s="288"/>
      <c r="T68" s="288"/>
      <c r="U68" s="288"/>
      <c r="V68" s="288"/>
      <c r="W68" s="288"/>
      <c r="X68" s="288"/>
      <c r="Y68" s="288"/>
      <c r="Z68" s="288"/>
      <c r="AA68" s="288"/>
      <c r="AB68" s="288"/>
      <c r="AC68" s="288"/>
      <c r="AD68" s="288"/>
      <c r="AE68" s="288"/>
      <c r="AF68" s="288"/>
      <c r="AG68" s="288"/>
      <c r="AH68" s="288"/>
      <c r="AI68" s="288"/>
      <c r="AJ68" s="288"/>
      <c r="AK68" s="288"/>
      <c r="AL68" s="288"/>
      <c r="AM68" s="288"/>
      <c r="AN68" s="288"/>
      <c r="AO68" s="289"/>
    </row>
    <row r="69" spans="1:41" s="107" customFormat="1" ht="31.5" customHeight="1" x14ac:dyDescent="0.25">
      <c r="A69" s="427" t="s">
        <v>382</v>
      </c>
      <c r="B69" s="428"/>
      <c r="C69" s="428"/>
      <c r="D69" s="428"/>
      <c r="E69" s="428"/>
      <c r="F69" s="428"/>
      <c r="G69" s="428"/>
      <c r="H69" s="428"/>
      <c r="I69" s="428"/>
      <c r="J69" s="428"/>
      <c r="K69" s="428"/>
      <c r="L69" s="428"/>
      <c r="M69" s="428"/>
      <c r="N69" s="428"/>
      <c r="O69" s="42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c r="AN69" s="428"/>
      <c r="AO69" s="429"/>
    </row>
    <row r="70" spans="1:41" s="107" customFormat="1" ht="63" customHeight="1" x14ac:dyDescent="0.25">
      <c r="A70" s="427" t="s">
        <v>360</v>
      </c>
      <c r="B70" s="428"/>
      <c r="C70" s="428"/>
      <c r="D70" s="428"/>
      <c r="E70" s="428"/>
      <c r="F70" s="428"/>
      <c r="G70" s="428"/>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428"/>
      <c r="AL70" s="428"/>
      <c r="AM70" s="428"/>
      <c r="AN70" s="428"/>
      <c r="AO70" s="429"/>
    </row>
    <row r="71" spans="1:41" s="107" customFormat="1" ht="79.5" customHeight="1" x14ac:dyDescent="0.25">
      <c r="A71" s="427" t="s">
        <v>361</v>
      </c>
      <c r="B71" s="288"/>
      <c r="C71" s="288"/>
      <c r="D71" s="288"/>
      <c r="E71" s="288"/>
      <c r="F71" s="288"/>
      <c r="G71" s="288"/>
      <c r="H71" s="288"/>
      <c r="I71" s="288"/>
      <c r="J71" s="288"/>
      <c r="K71" s="288"/>
      <c r="L71" s="288"/>
      <c r="M71" s="288"/>
      <c r="N71" s="288"/>
      <c r="O71" s="288"/>
      <c r="P71" s="288"/>
      <c r="Q71" s="288"/>
      <c r="R71" s="288"/>
      <c r="S71" s="288"/>
      <c r="T71" s="288"/>
      <c r="U71" s="288"/>
      <c r="V71" s="288"/>
      <c r="W71" s="288"/>
      <c r="X71" s="288"/>
      <c r="Y71" s="288"/>
      <c r="Z71" s="288"/>
      <c r="AA71" s="288"/>
      <c r="AB71" s="288"/>
      <c r="AC71" s="288"/>
      <c r="AD71" s="288"/>
      <c r="AE71" s="288"/>
      <c r="AF71" s="288"/>
      <c r="AG71" s="288"/>
      <c r="AH71" s="288"/>
      <c r="AI71" s="288"/>
      <c r="AJ71" s="288"/>
      <c r="AK71" s="288"/>
      <c r="AL71" s="288"/>
      <c r="AM71" s="288"/>
      <c r="AN71" s="288"/>
      <c r="AO71" s="289"/>
    </row>
    <row r="72" spans="1:41" s="107" customFormat="1" ht="35.25" customHeight="1" x14ac:dyDescent="0.25">
      <c r="A72" s="427" t="s">
        <v>362</v>
      </c>
      <c r="B72" s="428"/>
      <c r="C72" s="428"/>
      <c r="D72" s="428"/>
      <c r="E72" s="428"/>
      <c r="F72" s="428"/>
      <c r="G72" s="428"/>
      <c r="H72" s="428"/>
      <c r="I72" s="428"/>
      <c r="J72" s="428"/>
      <c r="K72" s="428"/>
      <c r="L72" s="428"/>
      <c r="M72" s="428"/>
      <c r="N72" s="428"/>
      <c r="O72" s="428"/>
      <c r="P72" s="428"/>
      <c r="Q72" s="428"/>
      <c r="R72" s="428"/>
      <c r="S72" s="428"/>
      <c r="T72" s="428"/>
      <c r="U72" s="428"/>
      <c r="V72" s="428"/>
      <c r="W72" s="428"/>
      <c r="X72" s="428"/>
      <c r="Y72" s="428"/>
      <c r="Z72" s="428"/>
      <c r="AA72" s="428"/>
      <c r="AB72" s="428"/>
      <c r="AC72" s="428"/>
      <c r="AD72" s="428"/>
      <c r="AE72" s="428"/>
      <c r="AF72" s="428"/>
      <c r="AG72" s="428"/>
      <c r="AH72" s="428"/>
      <c r="AI72" s="428"/>
      <c r="AJ72" s="428"/>
      <c r="AK72" s="428"/>
      <c r="AL72" s="428"/>
      <c r="AM72" s="428"/>
      <c r="AN72" s="428"/>
      <c r="AO72" s="429"/>
    </row>
    <row r="73" spans="1:41" s="107" customFormat="1" ht="37.5" customHeight="1" x14ac:dyDescent="0.25">
      <c r="A73" s="427" t="s">
        <v>363</v>
      </c>
      <c r="B73" s="428"/>
      <c r="C73" s="428"/>
      <c r="D73" s="428"/>
      <c r="E73" s="428"/>
      <c r="F73" s="428"/>
      <c r="G73" s="428"/>
      <c r="H73" s="428"/>
      <c r="I73" s="428"/>
      <c r="J73" s="428"/>
      <c r="K73" s="428"/>
      <c r="L73" s="428"/>
      <c r="M73" s="428"/>
      <c r="N73" s="428"/>
      <c r="O73" s="428"/>
      <c r="P73" s="428"/>
      <c r="Q73" s="428"/>
      <c r="R73" s="428"/>
      <c r="S73" s="428"/>
      <c r="T73" s="428"/>
      <c r="U73" s="428"/>
      <c r="V73" s="428"/>
      <c r="W73" s="428"/>
      <c r="X73" s="428"/>
      <c r="Y73" s="428"/>
      <c r="Z73" s="428"/>
      <c r="AA73" s="428"/>
      <c r="AB73" s="428"/>
      <c r="AC73" s="428"/>
      <c r="AD73" s="428"/>
      <c r="AE73" s="428"/>
      <c r="AF73" s="428"/>
      <c r="AG73" s="428"/>
      <c r="AH73" s="428"/>
      <c r="AI73" s="428"/>
      <c r="AJ73" s="428"/>
      <c r="AK73" s="428"/>
      <c r="AL73" s="428"/>
      <c r="AM73" s="428"/>
      <c r="AN73" s="428"/>
      <c r="AO73" s="429"/>
    </row>
    <row r="74" spans="1:41" s="107" customFormat="1" x14ac:dyDescent="0.25">
      <c r="A74" s="311"/>
      <c r="B74" s="312"/>
      <c r="C74" s="312"/>
      <c r="D74" s="312"/>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2"/>
      <c r="AK74" s="312"/>
      <c r="AL74" s="312"/>
      <c r="AM74" s="312"/>
      <c r="AN74" s="312"/>
      <c r="AO74" s="313"/>
    </row>
    <row r="75" spans="1:41" s="209" customFormat="1" x14ac:dyDescent="0.25">
      <c r="A75" s="359" t="s">
        <v>364</v>
      </c>
      <c r="B75" s="300"/>
      <c r="C75" s="300"/>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J75" s="300"/>
      <c r="AK75" s="300"/>
      <c r="AL75" s="300"/>
      <c r="AM75" s="300"/>
      <c r="AN75" s="300"/>
      <c r="AO75" s="301"/>
    </row>
    <row r="76" spans="1:41" s="209" customFormat="1" ht="123" customHeight="1" x14ac:dyDescent="0.25">
      <c r="A76" s="317" t="s">
        <v>365</v>
      </c>
      <c r="B76" s="335"/>
      <c r="C76" s="335"/>
      <c r="D76" s="335"/>
      <c r="E76" s="335"/>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5"/>
      <c r="AL76" s="335"/>
      <c r="AM76" s="335"/>
      <c r="AN76" s="335"/>
      <c r="AO76" s="336"/>
    </row>
    <row r="77" spans="1:41" ht="15.75" customHeight="1" thickBot="1" x14ac:dyDescent="0.3">
      <c r="A77" s="421"/>
      <c r="B77" s="422"/>
      <c r="C77" s="422"/>
      <c r="D77" s="422"/>
      <c r="E77" s="422"/>
      <c r="F77" s="422"/>
      <c r="G77" s="422"/>
      <c r="H77" s="422"/>
      <c r="I77" s="422"/>
      <c r="J77" s="422"/>
      <c r="K77" s="422"/>
      <c r="L77" s="422"/>
      <c r="M77" s="422"/>
      <c r="N77" s="422"/>
      <c r="O77" s="422"/>
      <c r="P77" s="422"/>
      <c r="Q77" s="422"/>
      <c r="R77" s="422"/>
      <c r="S77" s="422"/>
      <c r="T77" s="422"/>
      <c r="U77" s="422"/>
      <c r="V77" s="422"/>
      <c r="W77" s="422"/>
      <c r="X77" s="422"/>
      <c r="Y77" s="422"/>
      <c r="Z77" s="422"/>
      <c r="AA77" s="422"/>
      <c r="AB77" s="422"/>
      <c r="AC77" s="422"/>
      <c r="AD77" s="422"/>
      <c r="AE77" s="422"/>
      <c r="AF77" s="422"/>
      <c r="AG77" s="422"/>
      <c r="AH77" s="422"/>
      <c r="AI77" s="422"/>
      <c r="AJ77" s="422"/>
      <c r="AK77" s="422"/>
      <c r="AL77" s="422"/>
      <c r="AM77" s="422"/>
      <c r="AN77" s="422"/>
      <c r="AO77" s="423"/>
    </row>
  </sheetData>
  <mergeCells count="24">
    <mergeCell ref="A77:AO77"/>
    <mergeCell ref="A75:AO75"/>
    <mergeCell ref="A76:AO76"/>
    <mergeCell ref="A68:AO68"/>
    <mergeCell ref="A69:AO69"/>
    <mergeCell ref="A74:AO74"/>
    <mergeCell ref="A73:AO73"/>
    <mergeCell ref="A61:AO61"/>
    <mergeCell ref="A62:AO62"/>
    <mergeCell ref="A63:AO63"/>
    <mergeCell ref="A71:AO71"/>
    <mergeCell ref="A72:AO72"/>
    <mergeCell ref="A67:AO67"/>
    <mergeCell ref="A66:AO66"/>
    <mergeCell ref="A65:AO65"/>
    <mergeCell ref="A70:AO70"/>
    <mergeCell ref="A3:AO3"/>
    <mergeCell ref="A4:AO4"/>
    <mergeCell ref="A6:AO6"/>
    <mergeCell ref="A8:J8"/>
    <mergeCell ref="L8:U8"/>
    <mergeCell ref="W8:AF8"/>
    <mergeCell ref="AH8:AO8"/>
    <mergeCell ref="A5:AO5"/>
  </mergeCells>
  <pageMargins left="0.70866141732283472" right="0.70866141732283472" top="0.74803149606299213" bottom="0.74803149606299213" header="0.31496062992125984" footer="0.31496062992125984"/>
  <pageSetup paperSize="8" scale="71" orientation="landscape" r:id="rId1"/>
  <rowBreaks count="1" manualBreakCount="1">
    <brk id="60" max="34"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W61"/>
  <sheetViews>
    <sheetView view="pageBreakPreview" topLeftCell="A38" zoomScaleNormal="100" zoomScaleSheetLayoutView="100" workbookViewId="0">
      <selection activeCell="A52" sqref="A52:Q52"/>
    </sheetView>
  </sheetViews>
  <sheetFormatPr defaultRowHeight="15" outlineLevelRow="1" x14ac:dyDescent="0.25"/>
  <cols>
    <col min="1" max="1" width="3.140625" customWidth="1"/>
    <col min="2" max="2" width="7.28515625" customWidth="1"/>
    <col min="3" max="3" width="8.7109375" customWidth="1"/>
    <col min="4" max="4" width="8.85546875" customWidth="1"/>
    <col min="5" max="5" width="8.140625" customWidth="1"/>
    <col min="6" max="6" width="7.42578125" customWidth="1"/>
    <col min="7" max="7" width="8.140625" customWidth="1"/>
    <col min="8" max="8" width="8.28515625" customWidth="1"/>
    <col min="9" max="9" width="1.42578125" style="29" customWidth="1"/>
    <col min="10" max="10" width="3.140625" style="1" customWidth="1"/>
    <col min="11" max="11" width="9.5703125" style="1" customWidth="1"/>
    <col min="12" max="12" width="3.5703125" customWidth="1"/>
    <col min="13" max="13" width="9" style="160" customWidth="1"/>
    <col min="14" max="14" width="8.140625" style="160" customWidth="1"/>
    <col min="15" max="15" width="3" customWidth="1"/>
    <col min="16" max="16" width="48" customWidth="1"/>
    <col min="17" max="17" width="9.140625" style="72"/>
    <col min="19" max="20" width="0" hidden="1" customWidth="1"/>
    <col min="21" max="21" width="0" style="72" hidden="1" customWidth="1"/>
    <col min="22" max="22" width="0" hidden="1" customWidth="1"/>
  </cols>
  <sheetData>
    <row r="1" spans="1:22" x14ac:dyDescent="0.25">
      <c r="A1" s="1" t="s">
        <v>129</v>
      </c>
      <c r="C1" s="1"/>
      <c r="F1" s="22">
        <v>2.5000000000000001E-3</v>
      </c>
      <c r="G1" s="167"/>
      <c r="J1" s="168" t="s">
        <v>384</v>
      </c>
      <c r="P1" s="1"/>
    </row>
    <row r="2" spans="1:22" ht="9" customHeight="1" thickBot="1" x14ac:dyDescent="0.3"/>
    <row r="3" spans="1:22" s="106" customFormat="1" ht="15.75" outlineLevel="1" x14ac:dyDescent="0.25">
      <c r="A3" s="275" t="s">
        <v>183</v>
      </c>
      <c r="B3" s="276"/>
      <c r="C3" s="276"/>
      <c r="D3" s="276"/>
      <c r="E3" s="276"/>
      <c r="F3" s="276"/>
      <c r="G3" s="276"/>
      <c r="H3" s="276"/>
      <c r="I3" s="276"/>
      <c r="J3" s="276"/>
      <c r="K3" s="276"/>
      <c r="L3" s="276"/>
      <c r="M3" s="276"/>
      <c r="N3" s="276"/>
      <c r="O3" s="276"/>
      <c r="P3" s="276"/>
      <c r="Q3" s="277"/>
      <c r="U3" s="147"/>
    </row>
    <row r="4" spans="1:22" s="106" customFormat="1" ht="46.5" customHeight="1" outlineLevel="1" x14ac:dyDescent="0.25">
      <c r="A4" s="281" t="s">
        <v>393</v>
      </c>
      <c r="B4" s="282"/>
      <c r="C4" s="282"/>
      <c r="D4" s="282"/>
      <c r="E4" s="282"/>
      <c r="F4" s="282"/>
      <c r="G4" s="282"/>
      <c r="H4" s="282"/>
      <c r="I4" s="282"/>
      <c r="J4" s="282"/>
      <c r="K4" s="282"/>
      <c r="L4" s="282"/>
      <c r="M4" s="282"/>
      <c r="N4" s="282"/>
      <c r="O4" s="282"/>
      <c r="P4" s="282"/>
      <c r="Q4" s="283"/>
      <c r="U4" s="147"/>
    </row>
    <row r="5" spans="1:22" s="106" customFormat="1" ht="8.25" customHeight="1" outlineLevel="1" thickBot="1" x14ac:dyDescent="0.3">
      <c r="A5" s="305"/>
      <c r="B5" s="306"/>
      <c r="C5" s="306"/>
      <c r="D5" s="306"/>
      <c r="E5" s="306"/>
      <c r="F5" s="306"/>
      <c r="G5" s="306"/>
      <c r="H5" s="306"/>
      <c r="I5" s="306"/>
      <c r="J5" s="306"/>
      <c r="K5" s="306"/>
      <c r="L5" s="306"/>
      <c r="M5" s="306"/>
      <c r="N5" s="306"/>
      <c r="O5" s="306"/>
      <c r="P5" s="306"/>
      <c r="Q5" s="307"/>
      <c r="U5" s="147"/>
    </row>
    <row r="6" spans="1:22" ht="13.5" customHeight="1" thickBot="1" x14ac:dyDescent="0.3"/>
    <row r="7" spans="1:22" ht="15.75" thickBot="1" x14ac:dyDescent="0.3">
      <c r="A7" s="284" t="s">
        <v>184</v>
      </c>
      <c r="B7" s="285"/>
      <c r="C7" s="285"/>
      <c r="D7" s="285"/>
      <c r="E7" s="285"/>
      <c r="F7" s="285"/>
      <c r="G7" s="285"/>
      <c r="H7" s="286"/>
      <c r="J7" s="302" t="s">
        <v>337</v>
      </c>
      <c r="K7" s="303"/>
      <c r="L7" s="303"/>
      <c r="M7" s="303"/>
      <c r="N7" s="303"/>
      <c r="O7" s="303"/>
      <c r="P7" s="303"/>
      <c r="Q7" s="304"/>
    </row>
    <row r="8" spans="1:22" s="1" customFormat="1" ht="48" customHeight="1" thickBot="1" x14ac:dyDescent="0.3">
      <c r="A8" s="150" t="s">
        <v>99</v>
      </c>
      <c r="B8" s="151" t="s">
        <v>98</v>
      </c>
      <c r="C8" s="152" t="s">
        <v>92</v>
      </c>
      <c r="D8" s="152" t="s">
        <v>93</v>
      </c>
      <c r="E8" s="152" t="s">
        <v>97</v>
      </c>
      <c r="F8" s="152" t="s">
        <v>96</v>
      </c>
      <c r="G8" s="152" t="s">
        <v>95</v>
      </c>
      <c r="H8" s="153" t="s">
        <v>104</v>
      </c>
      <c r="I8" s="71"/>
      <c r="J8" s="78"/>
      <c r="K8" s="79" t="s">
        <v>172</v>
      </c>
      <c r="L8" s="79"/>
      <c r="M8" s="161" t="s">
        <v>168</v>
      </c>
      <c r="N8" s="161" t="s">
        <v>169</v>
      </c>
      <c r="O8" s="79" t="s">
        <v>152</v>
      </c>
      <c r="P8" s="79" t="s">
        <v>170</v>
      </c>
      <c r="Q8" s="80" t="s">
        <v>171</v>
      </c>
      <c r="U8" s="148"/>
    </row>
    <row r="9" spans="1:22" s="1" customFormat="1" x14ac:dyDescent="0.25">
      <c r="A9" s="84"/>
      <c r="B9" s="154"/>
      <c r="C9" s="30"/>
      <c r="D9" s="30"/>
      <c r="E9" s="30"/>
      <c r="F9" s="30">
        <f>+D46-Q16</f>
        <v>101118.72504683438</v>
      </c>
      <c r="G9" s="30"/>
      <c r="H9" s="34">
        <f>+D46</f>
        <v>137889.72504683438</v>
      </c>
      <c r="I9" s="71"/>
      <c r="J9" s="60"/>
      <c r="K9" s="145"/>
      <c r="L9" s="145"/>
      <c r="M9" s="162"/>
      <c r="N9" s="162"/>
      <c r="O9" s="145"/>
      <c r="P9" s="145"/>
      <c r="Q9" s="146"/>
      <c r="S9" s="1">
        <v>36</v>
      </c>
      <c r="U9" s="148">
        <f t="shared" ref="U9:U21" si="0">+(C$46/36)*T9</f>
        <v>0</v>
      </c>
    </row>
    <row r="10" spans="1:22" x14ac:dyDescent="0.25">
      <c r="A10" s="28">
        <v>0</v>
      </c>
      <c r="B10" s="33">
        <v>43647</v>
      </c>
      <c r="C10" s="31">
        <v>4000</v>
      </c>
      <c r="D10" s="31">
        <f>+C10/(1+F$1)^A10</f>
        <v>4000</v>
      </c>
      <c r="E10" s="31">
        <f>+F$9/36</f>
        <v>2808.8534735231774</v>
      </c>
      <c r="F10" s="31">
        <f>+F9-E10</f>
        <v>98309.871573311204</v>
      </c>
      <c r="G10" s="31">
        <f>+(H9-C10)*F$1</f>
        <v>334.72431261708596</v>
      </c>
      <c r="H10" s="32">
        <f>+H9-C10+G10</f>
        <v>134224.44935945148</v>
      </c>
      <c r="J10" s="115" t="s">
        <v>109</v>
      </c>
      <c r="K10" s="135">
        <v>43647</v>
      </c>
      <c r="L10" s="109" t="s">
        <v>0</v>
      </c>
      <c r="M10" s="163">
        <v>5220002</v>
      </c>
      <c r="N10" s="163"/>
      <c r="O10" s="109"/>
      <c r="P10" s="109" t="s">
        <v>385</v>
      </c>
      <c r="Q10" s="110">
        <v>750000</v>
      </c>
      <c r="S10">
        <v>35</v>
      </c>
      <c r="T10">
        <v>1</v>
      </c>
      <c r="U10" s="72">
        <f t="shared" si="0"/>
        <v>4000</v>
      </c>
      <c r="V10" s="72">
        <f>+C10</f>
        <v>4000</v>
      </c>
    </row>
    <row r="11" spans="1:22" x14ac:dyDescent="0.25">
      <c r="A11" s="28">
        <v>1</v>
      </c>
      <c r="B11" s="33">
        <v>43678</v>
      </c>
      <c r="C11" s="31">
        <v>4000</v>
      </c>
      <c r="D11" s="31">
        <f t="shared" ref="D11:D20" si="1">+C11/(1+F$1)^A11</f>
        <v>3990.0249376558604</v>
      </c>
      <c r="E11" s="31">
        <f t="shared" ref="E11:E45" si="2">+F$9/36</f>
        <v>2808.8534735231774</v>
      </c>
      <c r="F11" s="31">
        <f t="shared" ref="F11:F45" si="3">+F10-E11</f>
        <v>95501.018099788023</v>
      </c>
      <c r="G11" s="31">
        <f t="shared" ref="G11:G45" si="4">+(H10-C11)*F$1</f>
        <v>325.56112339862869</v>
      </c>
      <c r="H11" s="32">
        <f t="shared" ref="H11:H45" si="5">+H10-C11+G11</f>
        <v>130550.01048285011</v>
      </c>
      <c r="J11" s="60"/>
      <c r="K11" s="61"/>
      <c r="L11" s="109" t="s">
        <v>1</v>
      </c>
      <c r="M11" s="163">
        <v>5311001</v>
      </c>
      <c r="N11" s="163">
        <v>7124</v>
      </c>
      <c r="O11" s="109"/>
      <c r="P11" s="109" t="s">
        <v>394</v>
      </c>
      <c r="Q11" s="110">
        <v>550000</v>
      </c>
      <c r="S11">
        <v>34</v>
      </c>
      <c r="T11">
        <v>2</v>
      </c>
      <c r="U11" s="72">
        <f t="shared" si="0"/>
        <v>8000</v>
      </c>
      <c r="V11" s="72">
        <f t="shared" ref="V11:V21" si="6">+C11+V10</f>
        <v>8000</v>
      </c>
    </row>
    <row r="12" spans="1:22" s="221" customFormat="1" x14ac:dyDescent="0.25">
      <c r="A12" s="217">
        <v>2</v>
      </c>
      <c r="B12" s="218">
        <v>43709</v>
      </c>
      <c r="C12" s="219">
        <v>4000</v>
      </c>
      <c r="D12" s="219">
        <f t="shared" si="1"/>
        <v>3980.0747507789138</v>
      </c>
      <c r="E12" s="219">
        <f t="shared" si="2"/>
        <v>2808.8534735231774</v>
      </c>
      <c r="F12" s="219">
        <f t="shared" si="3"/>
        <v>92692.164626264843</v>
      </c>
      <c r="G12" s="219">
        <f t="shared" si="4"/>
        <v>316.37502620712525</v>
      </c>
      <c r="H12" s="229">
        <f t="shared" si="5"/>
        <v>126866.38550905723</v>
      </c>
      <c r="I12" s="220"/>
      <c r="J12" s="115"/>
      <c r="K12" s="156"/>
      <c r="L12" s="156" t="s">
        <v>0</v>
      </c>
      <c r="M12" s="142">
        <v>5311001</v>
      </c>
      <c r="N12" s="142">
        <v>7321</v>
      </c>
      <c r="O12" s="156"/>
      <c r="P12" s="143" t="s">
        <v>395</v>
      </c>
      <c r="Q12" s="110">
        <v>101119</v>
      </c>
      <c r="S12" s="221">
        <v>33</v>
      </c>
      <c r="T12" s="221">
        <v>3</v>
      </c>
      <c r="U12" s="222">
        <f t="shared" si="0"/>
        <v>12000</v>
      </c>
      <c r="V12" s="222">
        <f t="shared" si="6"/>
        <v>12000</v>
      </c>
    </row>
    <row r="13" spans="1:22" x14ac:dyDescent="0.25">
      <c r="A13" s="28">
        <v>3</v>
      </c>
      <c r="B13" s="33">
        <v>43739</v>
      </c>
      <c r="C13" s="31">
        <v>4000</v>
      </c>
      <c r="D13" s="31">
        <f t="shared" si="1"/>
        <v>3970.1493773355751</v>
      </c>
      <c r="E13" s="31">
        <f t="shared" si="2"/>
        <v>2808.8534735231774</v>
      </c>
      <c r="F13" s="31">
        <f t="shared" si="3"/>
        <v>89883.311152741662</v>
      </c>
      <c r="G13" s="31">
        <f t="shared" si="4"/>
        <v>307.16596377264307</v>
      </c>
      <c r="H13" s="32">
        <f t="shared" si="5"/>
        <v>123173.55147282987</v>
      </c>
      <c r="J13" s="115"/>
      <c r="K13" s="135"/>
      <c r="L13" s="40" t="s">
        <v>1</v>
      </c>
      <c r="M13" s="164">
        <v>3240102</v>
      </c>
      <c r="N13" s="164"/>
      <c r="O13" s="40"/>
      <c r="P13" s="40" t="s">
        <v>270</v>
      </c>
      <c r="Q13" s="110">
        <f>+H9</f>
        <v>137889.72504683438</v>
      </c>
      <c r="S13">
        <v>32</v>
      </c>
      <c r="T13">
        <v>4</v>
      </c>
      <c r="U13" s="72">
        <f t="shared" si="0"/>
        <v>16000</v>
      </c>
      <c r="V13" s="72">
        <f t="shared" si="6"/>
        <v>16000</v>
      </c>
    </row>
    <row r="14" spans="1:22" ht="16.5" customHeight="1" x14ac:dyDescent="0.25">
      <c r="A14" s="28">
        <v>4</v>
      </c>
      <c r="B14" s="33">
        <v>43770</v>
      </c>
      <c r="C14" s="31">
        <v>4000</v>
      </c>
      <c r="D14" s="31">
        <f t="shared" si="1"/>
        <v>3960.2487554469576</v>
      </c>
      <c r="E14" s="31">
        <f t="shared" si="2"/>
        <v>2808.8534735231774</v>
      </c>
      <c r="F14" s="31">
        <f t="shared" si="3"/>
        <v>87074.457679218482</v>
      </c>
      <c r="G14" s="31">
        <f t="shared" si="4"/>
        <v>297.93387868207469</v>
      </c>
      <c r="H14" s="32">
        <f t="shared" si="5"/>
        <v>119471.48535151195</v>
      </c>
      <c r="J14" s="115"/>
      <c r="K14" s="156"/>
      <c r="L14" s="156" t="s">
        <v>0</v>
      </c>
      <c r="M14" s="142">
        <v>1252003</v>
      </c>
      <c r="N14" s="142"/>
      <c r="O14" s="156"/>
      <c r="P14" s="143" t="s">
        <v>386</v>
      </c>
      <c r="Q14" s="158">
        <v>550000</v>
      </c>
      <c r="S14">
        <v>31</v>
      </c>
      <c r="T14">
        <v>5</v>
      </c>
      <c r="U14" s="72">
        <f t="shared" si="0"/>
        <v>20000</v>
      </c>
      <c r="V14" s="72">
        <f t="shared" si="6"/>
        <v>20000</v>
      </c>
    </row>
    <row r="15" spans="1:22" ht="15.75" customHeight="1" x14ac:dyDescent="0.25">
      <c r="A15" s="28">
        <v>5</v>
      </c>
      <c r="B15" s="33">
        <v>43800</v>
      </c>
      <c r="C15" s="31">
        <v>4000</v>
      </c>
      <c r="D15" s="31">
        <f t="shared" si="1"/>
        <v>3950.3728233884863</v>
      </c>
      <c r="E15" s="31">
        <f t="shared" si="2"/>
        <v>2808.8534735231774</v>
      </c>
      <c r="F15" s="31">
        <f t="shared" si="3"/>
        <v>84265.604205695301</v>
      </c>
      <c r="G15" s="31">
        <f t="shared" si="4"/>
        <v>288.67871337877989</v>
      </c>
      <c r="H15" s="32">
        <f t="shared" si="5"/>
        <v>115760.16406489072</v>
      </c>
      <c r="J15" s="115"/>
      <c r="K15" s="156"/>
      <c r="L15" s="156" t="s">
        <v>1</v>
      </c>
      <c r="M15" s="142">
        <v>1252001</v>
      </c>
      <c r="N15" s="142"/>
      <c r="O15" s="156"/>
      <c r="P15" s="143" t="s">
        <v>387</v>
      </c>
      <c r="Q15" s="158">
        <v>750000</v>
      </c>
      <c r="S15">
        <v>30</v>
      </c>
      <c r="T15">
        <v>6</v>
      </c>
      <c r="U15" s="72">
        <f t="shared" si="0"/>
        <v>24000</v>
      </c>
      <c r="V15" s="72">
        <f t="shared" si="6"/>
        <v>24000</v>
      </c>
    </row>
    <row r="16" spans="1:22" x14ac:dyDescent="0.25">
      <c r="A16" s="28">
        <v>6</v>
      </c>
      <c r="B16" s="33">
        <v>43831</v>
      </c>
      <c r="C16" s="31">
        <v>4000</v>
      </c>
      <c r="D16" s="31">
        <f>+C16/(1+F$1)^A16</f>
        <v>3940.5215195895134</v>
      </c>
      <c r="E16" s="31">
        <f t="shared" si="2"/>
        <v>2808.8534735231774</v>
      </c>
      <c r="F16" s="31">
        <f t="shared" si="3"/>
        <v>81456.75073217212</v>
      </c>
      <c r="G16" s="31">
        <f t="shared" si="4"/>
        <v>279.40041016222682</v>
      </c>
      <c r="H16" s="32">
        <f t="shared" si="5"/>
        <v>112039.56447505295</v>
      </c>
      <c r="J16" s="115"/>
      <c r="K16" s="156"/>
      <c r="L16" s="156" t="s">
        <v>0</v>
      </c>
      <c r="M16" s="142">
        <v>1290098</v>
      </c>
      <c r="N16" s="142"/>
      <c r="O16" s="156"/>
      <c r="P16" s="143" t="s">
        <v>388</v>
      </c>
      <c r="Q16" s="158">
        <v>36771</v>
      </c>
      <c r="S16">
        <v>29</v>
      </c>
      <c r="T16">
        <v>7</v>
      </c>
      <c r="U16" s="72">
        <f t="shared" si="0"/>
        <v>28000</v>
      </c>
      <c r="V16" s="72">
        <f t="shared" si="6"/>
        <v>28000</v>
      </c>
    </row>
    <row r="17" spans="1:22" x14ac:dyDescent="0.25">
      <c r="A17" s="28">
        <v>7</v>
      </c>
      <c r="B17" s="33">
        <v>43862</v>
      </c>
      <c r="C17" s="31">
        <v>4000</v>
      </c>
      <c r="D17" s="31">
        <f t="shared" si="1"/>
        <v>3930.694782632931</v>
      </c>
      <c r="E17" s="31">
        <f t="shared" si="2"/>
        <v>2808.8534735231774</v>
      </c>
      <c r="F17" s="31">
        <f t="shared" si="3"/>
        <v>78647.89725864894</v>
      </c>
      <c r="G17" s="31">
        <f t="shared" si="4"/>
        <v>270.09891118763238</v>
      </c>
      <c r="H17" s="32">
        <f t="shared" si="5"/>
        <v>108309.66338624057</v>
      </c>
      <c r="J17" s="223" t="s">
        <v>389</v>
      </c>
      <c r="K17" s="135"/>
      <c r="L17" s="156"/>
      <c r="M17" s="142"/>
      <c r="N17" s="142"/>
      <c r="O17" s="156"/>
      <c r="P17" s="143"/>
      <c r="Q17" s="158"/>
      <c r="S17">
        <v>28</v>
      </c>
      <c r="T17">
        <v>8</v>
      </c>
      <c r="U17" s="72">
        <f t="shared" si="0"/>
        <v>32000</v>
      </c>
      <c r="V17" s="72">
        <f t="shared" si="6"/>
        <v>32000</v>
      </c>
    </row>
    <row r="18" spans="1:22" x14ac:dyDescent="0.25">
      <c r="A18" s="28">
        <v>8</v>
      </c>
      <c r="B18" s="33">
        <v>43891</v>
      </c>
      <c r="C18" s="31">
        <v>4000</v>
      </c>
      <c r="D18" s="31">
        <f t="shared" si="1"/>
        <v>3920.8925512547939</v>
      </c>
      <c r="E18" s="31">
        <f t="shared" si="2"/>
        <v>2808.8534735231774</v>
      </c>
      <c r="F18" s="31">
        <f t="shared" si="3"/>
        <v>75839.043785125759</v>
      </c>
      <c r="G18" s="31">
        <f t="shared" si="4"/>
        <v>260.77415846560143</v>
      </c>
      <c r="H18" s="32">
        <f t="shared" si="5"/>
        <v>104570.43754470618</v>
      </c>
      <c r="J18" s="223" t="s">
        <v>390</v>
      </c>
      <c r="K18" s="156"/>
      <c r="L18" s="156"/>
      <c r="M18" s="142"/>
      <c r="N18" s="142"/>
      <c r="O18" s="156"/>
      <c r="P18" s="143"/>
      <c r="Q18" s="158"/>
      <c r="S18">
        <v>27</v>
      </c>
      <c r="T18">
        <v>9</v>
      </c>
      <c r="U18" s="72">
        <f t="shared" si="0"/>
        <v>36000</v>
      </c>
      <c r="V18" s="72">
        <f t="shared" si="6"/>
        <v>36000</v>
      </c>
    </row>
    <row r="19" spans="1:22" x14ac:dyDescent="0.25">
      <c r="A19" s="28">
        <v>9</v>
      </c>
      <c r="B19" s="33">
        <v>43922</v>
      </c>
      <c r="C19" s="31">
        <v>4000</v>
      </c>
      <c r="D19" s="31">
        <f t="shared" si="1"/>
        <v>3911.114764343934</v>
      </c>
      <c r="E19" s="31">
        <f t="shared" si="2"/>
        <v>2808.8534735231774</v>
      </c>
      <c r="F19" s="31">
        <f t="shared" si="3"/>
        <v>73030.190311602579</v>
      </c>
      <c r="G19" s="31">
        <f t="shared" si="4"/>
        <v>251.42609386176545</v>
      </c>
      <c r="H19" s="32">
        <f t="shared" si="5"/>
        <v>100821.86363856794</v>
      </c>
      <c r="J19" s="115" t="s">
        <v>396</v>
      </c>
      <c r="K19" s="135"/>
      <c r="L19" s="109"/>
      <c r="M19" s="163"/>
      <c r="N19" s="163"/>
      <c r="O19" s="109"/>
      <c r="P19" s="109"/>
      <c r="Q19" s="110"/>
      <c r="S19">
        <v>26</v>
      </c>
      <c r="T19">
        <v>10</v>
      </c>
      <c r="U19" s="72">
        <f t="shared" si="0"/>
        <v>40000</v>
      </c>
      <c r="V19" s="72">
        <f t="shared" si="6"/>
        <v>40000</v>
      </c>
    </row>
    <row r="20" spans="1:22" x14ac:dyDescent="0.25">
      <c r="A20" s="28">
        <v>10</v>
      </c>
      <c r="B20" s="33">
        <v>43952</v>
      </c>
      <c r="C20" s="31">
        <v>4000</v>
      </c>
      <c r="D20" s="31">
        <f t="shared" si="1"/>
        <v>3901.3613609415806</v>
      </c>
      <c r="E20" s="31">
        <f t="shared" si="2"/>
        <v>2808.8534735231774</v>
      </c>
      <c r="F20" s="31">
        <f t="shared" si="3"/>
        <v>70221.336838079398</v>
      </c>
      <c r="G20" s="31">
        <f t="shared" si="4"/>
        <v>242.05465909641987</v>
      </c>
      <c r="H20" s="32">
        <f t="shared" si="5"/>
        <v>97063.918297664364</v>
      </c>
      <c r="J20" s="115" t="s">
        <v>397</v>
      </c>
      <c r="K20" s="61"/>
      <c r="L20" s="40"/>
      <c r="M20" s="164"/>
      <c r="N20" s="164"/>
      <c r="O20" s="40"/>
      <c r="P20" s="40"/>
      <c r="Q20" s="70"/>
      <c r="S20">
        <v>25</v>
      </c>
      <c r="T20">
        <v>11</v>
      </c>
      <c r="U20" s="72">
        <f t="shared" si="0"/>
        <v>44000</v>
      </c>
      <c r="V20" s="72">
        <f t="shared" si="6"/>
        <v>44000</v>
      </c>
    </row>
    <row r="21" spans="1:22" ht="15" customHeight="1" x14ac:dyDescent="0.25">
      <c r="A21" s="28">
        <v>11</v>
      </c>
      <c r="B21" s="33">
        <v>43983</v>
      </c>
      <c r="C21" s="31">
        <v>4000</v>
      </c>
      <c r="D21" s="31">
        <f>+C21/(1+F$1)^A21</f>
        <v>3891.6322802409791</v>
      </c>
      <c r="E21" s="31">
        <f t="shared" si="2"/>
        <v>2808.8534735231774</v>
      </c>
      <c r="F21" s="31">
        <f t="shared" si="3"/>
        <v>67412.483364556218</v>
      </c>
      <c r="G21" s="31">
        <f t="shared" si="4"/>
        <v>232.6597957441609</v>
      </c>
      <c r="H21" s="32">
        <f t="shared" si="5"/>
        <v>93296.57809340852</v>
      </c>
      <c r="J21" s="133"/>
      <c r="K21" s="61"/>
      <c r="L21" s="40"/>
      <c r="M21" s="164"/>
      <c r="N21" s="164"/>
      <c r="O21" s="40"/>
      <c r="P21" s="40"/>
      <c r="Q21" s="70"/>
      <c r="S21">
        <v>24</v>
      </c>
      <c r="T21">
        <v>12</v>
      </c>
      <c r="U21" s="72">
        <f t="shared" si="0"/>
        <v>48000</v>
      </c>
      <c r="V21" s="72">
        <f t="shared" si="6"/>
        <v>48000</v>
      </c>
    </row>
    <row r="22" spans="1:22" ht="15" customHeight="1" x14ac:dyDescent="0.25">
      <c r="A22" s="28">
        <v>12</v>
      </c>
      <c r="B22" s="33">
        <v>44013</v>
      </c>
      <c r="C22" s="31">
        <v>4000</v>
      </c>
      <c r="D22" s="31">
        <f t="shared" ref="D22:D44" si="7">+C22/(1+F$1)^A22</f>
        <v>3881.9274615870108</v>
      </c>
      <c r="E22" s="31">
        <f t="shared" si="2"/>
        <v>2808.8534735231774</v>
      </c>
      <c r="F22" s="31">
        <f t="shared" si="3"/>
        <v>64603.629891033037</v>
      </c>
      <c r="G22" s="31">
        <f t="shared" si="4"/>
        <v>223.24144523352129</v>
      </c>
      <c r="H22" s="32">
        <f t="shared" si="5"/>
        <v>89519.819538642041</v>
      </c>
      <c r="J22" s="115" t="s">
        <v>110</v>
      </c>
      <c r="K22" s="116" t="s">
        <v>32</v>
      </c>
      <c r="L22" s="40" t="s">
        <v>0</v>
      </c>
      <c r="M22" s="164">
        <v>2241002</v>
      </c>
      <c r="N22" s="164"/>
      <c r="O22" s="40"/>
      <c r="P22" s="40" t="s">
        <v>251</v>
      </c>
      <c r="Q22" s="70">
        <f>SUM(E10:E21)</f>
        <v>33706.241682278131</v>
      </c>
      <c r="V22" s="72"/>
    </row>
    <row r="23" spans="1:22" ht="15" customHeight="1" x14ac:dyDescent="0.25">
      <c r="A23" s="28">
        <v>13</v>
      </c>
      <c r="B23" s="33">
        <v>44044</v>
      </c>
      <c r="C23" s="31">
        <v>4000</v>
      </c>
      <c r="D23" s="31">
        <f t="shared" si="7"/>
        <v>3872.246844475821</v>
      </c>
      <c r="E23" s="31">
        <f t="shared" si="2"/>
        <v>2808.8534735231774</v>
      </c>
      <c r="F23" s="31">
        <f t="shared" si="3"/>
        <v>61794.776417509856</v>
      </c>
      <c r="G23" s="31">
        <f t="shared" si="4"/>
        <v>213.79954884660512</v>
      </c>
      <c r="H23" s="32">
        <f t="shared" si="5"/>
        <v>85733.619087488652</v>
      </c>
      <c r="J23" s="60"/>
      <c r="K23" s="61"/>
      <c r="L23" s="40" t="s">
        <v>1</v>
      </c>
      <c r="M23" s="164">
        <v>5311002</v>
      </c>
      <c r="N23" s="164">
        <v>7353</v>
      </c>
      <c r="O23" s="40"/>
      <c r="P23" s="40" t="s">
        <v>105</v>
      </c>
      <c r="Q23" s="70">
        <f>Q22</f>
        <v>33706.241682278131</v>
      </c>
      <c r="V23" s="72"/>
    </row>
    <row r="24" spans="1:22" ht="15" customHeight="1" x14ac:dyDescent="0.25">
      <c r="A24" s="28">
        <v>14</v>
      </c>
      <c r="B24" s="33">
        <v>44075</v>
      </c>
      <c r="C24" s="31">
        <v>4000</v>
      </c>
      <c r="D24" s="31">
        <f t="shared" si="7"/>
        <v>3862.5903685544358</v>
      </c>
      <c r="E24" s="31">
        <f t="shared" si="2"/>
        <v>2808.8534735231774</v>
      </c>
      <c r="F24" s="31">
        <f t="shared" si="3"/>
        <v>58985.922943986676</v>
      </c>
      <c r="G24" s="31">
        <f t="shared" si="4"/>
        <v>204.33404771872165</v>
      </c>
      <c r="H24" s="32">
        <f t="shared" si="5"/>
        <v>81937.953135207368</v>
      </c>
      <c r="J24" s="133" t="s">
        <v>187</v>
      </c>
      <c r="K24" s="61"/>
      <c r="L24" s="40"/>
      <c r="M24" s="164"/>
      <c r="N24" s="164"/>
      <c r="O24" s="40"/>
      <c r="P24" s="40"/>
      <c r="Q24" s="70"/>
      <c r="V24" s="72"/>
    </row>
    <row r="25" spans="1:22" ht="15" customHeight="1" x14ac:dyDescent="0.25">
      <c r="A25" s="28">
        <v>15</v>
      </c>
      <c r="B25" s="33">
        <v>44105</v>
      </c>
      <c r="C25" s="31">
        <v>4000</v>
      </c>
      <c r="D25" s="31">
        <f t="shared" si="7"/>
        <v>3852.9579736203855</v>
      </c>
      <c r="E25" s="31">
        <f t="shared" si="2"/>
        <v>2808.8534735231774</v>
      </c>
      <c r="F25" s="31">
        <f t="shared" si="3"/>
        <v>56177.069470463495</v>
      </c>
      <c r="G25" s="31">
        <f t="shared" si="4"/>
        <v>194.84488283801844</v>
      </c>
      <c r="H25" s="32">
        <f t="shared" si="5"/>
        <v>78132.798018045389</v>
      </c>
      <c r="J25" s="60"/>
      <c r="K25" s="61"/>
      <c r="L25" s="40"/>
      <c r="M25" s="164"/>
      <c r="N25" s="164"/>
      <c r="O25" s="40"/>
      <c r="P25" s="40"/>
      <c r="Q25" s="70"/>
      <c r="V25" s="72"/>
    </row>
    <row r="26" spans="1:22" ht="15" customHeight="1" x14ac:dyDescent="0.25">
      <c r="A26" s="28">
        <v>16</v>
      </c>
      <c r="B26" s="33">
        <v>44136</v>
      </c>
      <c r="C26" s="31">
        <v>4000</v>
      </c>
      <c r="D26" s="31">
        <f t="shared" si="7"/>
        <v>3843.3495996213314</v>
      </c>
      <c r="E26" s="31">
        <f t="shared" si="2"/>
        <v>2808.8534735231774</v>
      </c>
      <c r="F26" s="31">
        <f t="shared" si="3"/>
        <v>53368.215996940315</v>
      </c>
      <c r="G26" s="31">
        <f t="shared" si="4"/>
        <v>185.33199504511347</v>
      </c>
      <c r="H26" s="32">
        <f t="shared" si="5"/>
        <v>74318.1300130905</v>
      </c>
      <c r="J26" s="115" t="s">
        <v>114</v>
      </c>
      <c r="K26" s="116" t="s">
        <v>32</v>
      </c>
      <c r="L26" s="40" t="s">
        <v>0</v>
      </c>
      <c r="M26" s="164">
        <v>3240106</v>
      </c>
      <c r="N26" s="164"/>
      <c r="O26" s="40"/>
      <c r="P26" s="40" t="s">
        <v>271</v>
      </c>
      <c r="Q26" s="70">
        <f>Q28-Q27</f>
        <v>44593.146953425858</v>
      </c>
      <c r="V26" s="72"/>
    </row>
    <row r="27" spans="1:22" ht="15" customHeight="1" x14ac:dyDescent="0.25">
      <c r="A27" s="28">
        <v>17</v>
      </c>
      <c r="B27" s="33">
        <v>44166</v>
      </c>
      <c r="C27" s="31">
        <v>4000</v>
      </c>
      <c r="D27" s="31">
        <f t="shared" si="7"/>
        <v>3833.7651866546953</v>
      </c>
      <c r="E27" s="31">
        <f t="shared" si="2"/>
        <v>2808.8534735231774</v>
      </c>
      <c r="F27" s="31">
        <f t="shared" si="3"/>
        <v>50559.362523417134</v>
      </c>
      <c r="G27" s="31">
        <f t="shared" si="4"/>
        <v>175.79532503272625</v>
      </c>
      <c r="H27" s="32">
        <f t="shared" si="5"/>
        <v>70493.925338123227</v>
      </c>
      <c r="J27" s="60"/>
      <c r="K27" s="61"/>
      <c r="L27" s="40" t="s">
        <v>0</v>
      </c>
      <c r="M27" s="164">
        <v>2422020</v>
      </c>
      <c r="N27" s="164"/>
      <c r="O27" s="40"/>
      <c r="P27" s="40" t="s">
        <v>161</v>
      </c>
      <c r="Q27" s="70">
        <f>SUM(G10:G21)</f>
        <v>3406.8530465741446</v>
      </c>
      <c r="V27" s="72"/>
    </row>
    <row r="28" spans="1:22" ht="15" customHeight="1" x14ac:dyDescent="0.25">
      <c r="A28" s="28">
        <v>18</v>
      </c>
      <c r="B28" s="33">
        <v>44197</v>
      </c>
      <c r="C28" s="31">
        <v>4000</v>
      </c>
      <c r="D28" s="31">
        <f t="shared" si="7"/>
        <v>3824.2046749672768</v>
      </c>
      <c r="E28" s="31">
        <f t="shared" si="2"/>
        <v>2808.8534735231774</v>
      </c>
      <c r="F28" s="31">
        <f t="shared" si="3"/>
        <v>47750.509049893953</v>
      </c>
      <c r="G28" s="31">
        <f t="shared" si="4"/>
        <v>166.23481334530808</v>
      </c>
      <c r="H28" s="32">
        <f t="shared" si="5"/>
        <v>66660.160151468532</v>
      </c>
      <c r="J28" s="60"/>
      <c r="K28" s="61"/>
      <c r="L28" s="40" t="s">
        <v>1</v>
      </c>
      <c r="M28" s="164">
        <v>5220002</v>
      </c>
      <c r="N28" s="164"/>
      <c r="O28" s="40"/>
      <c r="P28" s="40" t="s">
        <v>385</v>
      </c>
      <c r="Q28" s="70">
        <f>SUM(C10:C21)</f>
        <v>48000</v>
      </c>
      <c r="V28" s="72"/>
    </row>
    <row r="29" spans="1:22" ht="15" customHeight="1" x14ac:dyDescent="0.25">
      <c r="A29" s="28">
        <v>19</v>
      </c>
      <c r="B29" s="33">
        <v>44228</v>
      </c>
      <c r="C29" s="31">
        <v>4000</v>
      </c>
      <c r="D29" s="31">
        <f t="shared" si="7"/>
        <v>3814.6680049548904</v>
      </c>
      <c r="E29" s="31">
        <f t="shared" si="2"/>
        <v>2808.8534735231774</v>
      </c>
      <c r="F29" s="31">
        <f t="shared" si="3"/>
        <v>44941.655576370773</v>
      </c>
      <c r="G29" s="31">
        <f t="shared" si="4"/>
        <v>156.65040037867132</v>
      </c>
      <c r="H29" s="32">
        <f t="shared" si="5"/>
        <v>62816.8105518472</v>
      </c>
      <c r="J29" s="133" t="s">
        <v>117</v>
      </c>
      <c r="K29" s="61"/>
      <c r="L29" s="40"/>
      <c r="M29" s="164"/>
      <c r="N29" s="164"/>
      <c r="O29" s="40"/>
      <c r="P29" s="40"/>
      <c r="Q29" s="70"/>
      <c r="V29" s="72"/>
    </row>
    <row r="30" spans="1:22" ht="15.75" thickBot="1" x14ac:dyDescent="0.3">
      <c r="A30" s="28">
        <v>20</v>
      </c>
      <c r="B30" s="33">
        <v>44256</v>
      </c>
      <c r="C30" s="31">
        <v>4000</v>
      </c>
      <c r="D30" s="31">
        <f t="shared" si="7"/>
        <v>3805.1551171619849</v>
      </c>
      <c r="E30" s="31">
        <f t="shared" si="2"/>
        <v>2808.8534735231774</v>
      </c>
      <c r="F30" s="31">
        <f t="shared" si="3"/>
        <v>42132.802102847592</v>
      </c>
      <c r="G30" s="31">
        <f t="shared" si="4"/>
        <v>147.04202637961799</v>
      </c>
      <c r="H30" s="32">
        <f t="shared" si="5"/>
        <v>58963.852578226819</v>
      </c>
      <c r="J30" s="133"/>
      <c r="K30" s="61"/>
      <c r="L30" s="40"/>
      <c r="M30" s="164"/>
      <c r="N30" s="164"/>
      <c r="O30" s="40"/>
      <c r="P30" s="40"/>
      <c r="Q30" s="70"/>
      <c r="S30">
        <v>23</v>
      </c>
      <c r="T30">
        <v>13</v>
      </c>
      <c r="U30" s="72">
        <f t="shared" ref="U30:U47" si="8">+(C$46/36)*T30</f>
        <v>52000</v>
      </c>
      <c r="V30" s="72">
        <f>+C22+V21</f>
        <v>52000</v>
      </c>
    </row>
    <row r="31" spans="1:22" x14ac:dyDescent="0.25">
      <c r="A31" s="28">
        <v>21</v>
      </c>
      <c r="B31" s="33">
        <v>44287</v>
      </c>
      <c r="C31" s="31">
        <v>4000</v>
      </c>
      <c r="D31" s="31">
        <f t="shared" si="7"/>
        <v>3795.6659522812824</v>
      </c>
      <c r="E31" s="31">
        <f t="shared" si="2"/>
        <v>2808.8534735231774</v>
      </c>
      <c r="F31" s="31">
        <f t="shared" si="3"/>
        <v>39323.948629324412</v>
      </c>
      <c r="G31" s="31">
        <f t="shared" si="4"/>
        <v>137.40963144556704</v>
      </c>
      <c r="H31" s="32">
        <f t="shared" si="5"/>
        <v>55101.262209672386</v>
      </c>
      <c r="J31" s="124" t="s">
        <v>120</v>
      </c>
      <c r="K31" s="125" t="s">
        <v>106</v>
      </c>
      <c r="L31" s="51" t="s">
        <v>0</v>
      </c>
      <c r="M31" s="166">
        <v>2241002</v>
      </c>
      <c r="N31" s="166"/>
      <c r="O31" s="51"/>
      <c r="P31" s="51" t="s">
        <v>251</v>
      </c>
      <c r="Q31" s="69">
        <f>SUM(E22:E33)</f>
        <v>33706.241682278131</v>
      </c>
      <c r="S31">
        <v>22</v>
      </c>
      <c r="T31">
        <v>14</v>
      </c>
      <c r="U31" s="72">
        <f t="shared" si="8"/>
        <v>56000</v>
      </c>
      <c r="V31" s="72">
        <f t="shared" ref="V31:V47" si="9">+C23+V30</f>
        <v>56000</v>
      </c>
    </row>
    <row r="32" spans="1:22" x14ac:dyDescent="0.25">
      <c r="A32" s="28">
        <v>22</v>
      </c>
      <c r="B32" s="33">
        <v>44317</v>
      </c>
      <c r="C32" s="31">
        <v>4000</v>
      </c>
      <c r="D32" s="31">
        <f t="shared" si="7"/>
        <v>3786.2004511533996</v>
      </c>
      <c r="E32" s="31">
        <f t="shared" si="2"/>
        <v>2808.8534735231774</v>
      </c>
      <c r="F32" s="31">
        <f t="shared" si="3"/>
        <v>36515.095155801231</v>
      </c>
      <c r="G32" s="31">
        <f t="shared" si="4"/>
        <v>127.75315552418097</v>
      </c>
      <c r="H32" s="32">
        <f t="shared" si="5"/>
        <v>51229.015365196567</v>
      </c>
      <c r="J32" s="60"/>
      <c r="K32" s="61"/>
      <c r="L32" s="40" t="s">
        <v>1</v>
      </c>
      <c r="M32" s="164">
        <v>5311002</v>
      </c>
      <c r="N32" s="164">
        <v>7353</v>
      </c>
      <c r="O32" s="40"/>
      <c r="P32" s="40" t="s">
        <v>105</v>
      </c>
      <c r="Q32" s="70">
        <f>Q31</f>
        <v>33706.241682278131</v>
      </c>
      <c r="S32">
        <v>21</v>
      </c>
      <c r="T32">
        <v>15</v>
      </c>
      <c r="U32" s="72">
        <f t="shared" si="8"/>
        <v>60000</v>
      </c>
      <c r="V32" s="72">
        <f t="shared" si="9"/>
        <v>60000</v>
      </c>
    </row>
    <row r="33" spans="1:23" ht="15" customHeight="1" x14ac:dyDescent="0.25">
      <c r="A33" s="28">
        <v>23</v>
      </c>
      <c r="B33" s="33">
        <v>44348</v>
      </c>
      <c r="C33" s="31">
        <v>4000</v>
      </c>
      <c r="D33" s="31">
        <f>+C33/(1+F$1)^A33</f>
        <v>3776.758554766483</v>
      </c>
      <c r="E33" s="31">
        <f t="shared" si="2"/>
        <v>2808.8534735231774</v>
      </c>
      <c r="F33" s="31">
        <f t="shared" si="3"/>
        <v>33706.241682278051</v>
      </c>
      <c r="G33" s="31">
        <f t="shared" si="4"/>
        <v>118.07253841299142</v>
      </c>
      <c r="H33" s="32">
        <f t="shared" si="5"/>
        <v>47347.087903609558</v>
      </c>
      <c r="J33" s="133" t="s">
        <v>188</v>
      </c>
      <c r="K33" s="61"/>
      <c r="L33" s="40"/>
      <c r="M33" s="164"/>
      <c r="N33" s="164"/>
      <c r="O33" s="40"/>
      <c r="P33" s="40"/>
      <c r="Q33" s="70"/>
      <c r="S33">
        <v>20</v>
      </c>
      <c r="T33">
        <v>16</v>
      </c>
      <c r="U33" s="72">
        <f t="shared" si="8"/>
        <v>64000</v>
      </c>
      <c r="V33" s="72">
        <f t="shared" si="9"/>
        <v>64000</v>
      </c>
    </row>
    <row r="34" spans="1:23" x14ac:dyDescent="0.25">
      <c r="A34" s="28">
        <v>24</v>
      </c>
      <c r="B34" s="33">
        <v>44378</v>
      </c>
      <c r="C34" s="31">
        <v>4000</v>
      </c>
      <c r="D34" s="31">
        <f t="shared" si="7"/>
        <v>3767.3402042558437</v>
      </c>
      <c r="E34" s="31">
        <f t="shared" si="2"/>
        <v>2808.8534735231774</v>
      </c>
      <c r="F34" s="31">
        <f t="shared" si="3"/>
        <v>30897.388208754874</v>
      </c>
      <c r="G34" s="31">
        <f t="shared" si="4"/>
        <v>108.3677197590239</v>
      </c>
      <c r="H34" s="32">
        <f t="shared" si="5"/>
        <v>43455.45562336858</v>
      </c>
      <c r="J34" s="60"/>
      <c r="K34" s="61"/>
      <c r="L34" s="40"/>
      <c r="M34" s="164"/>
      <c r="N34" s="164"/>
      <c r="O34" s="40"/>
      <c r="P34" s="40"/>
      <c r="Q34" s="70"/>
      <c r="S34">
        <v>19</v>
      </c>
      <c r="T34">
        <v>17</v>
      </c>
      <c r="U34" s="72">
        <f t="shared" si="8"/>
        <v>68000</v>
      </c>
      <c r="V34" s="72">
        <f t="shared" si="9"/>
        <v>68000</v>
      </c>
      <c r="W34" s="72"/>
    </row>
    <row r="35" spans="1:23" x14ac:dyDescent="0.25">
      <c r="A35" s="28">
        <v>25</v>
      </c>
      <c r="B35" s="33">
        <v>44409</v>
      </c>
      <c r="C35" s="31">
        <v>4000</v>
      </c>
      <c r="D35" s="31">
        <f t="shared" si="7"/>
        <v>3757.9453409035846</v>
      </c>
      <c r="E35" s="31">
        <f t="shared" si="2"/>
        <v>2808.8534735231774</v>
      </c>
      <c r="F35" s="31">
        <f t="shared" si="3"/>
        <v>28088.534735231697</v>
      </c>
      <c r="G35" s="31">
        <f t="shared" si="4"/>
        <v>98.638639058421447</v>
      </c>
      <c r="H35" s="32">
        <f t="shared" si="5"/>
        <v>39554.094262427003</v>
      </c>
      <c r="J35" s="115" t="s">
        <v>122</v>
      </c>
      <c r="K35" s="116" t="s">
        <v>106</v>
      </c>
      <c r="L35" s="40" t="s">
        <v>0</v>
      </c>
      <c r="M35" s="164">
        <v>3240106</v>
      </c>
      <c r="N35" s="164"/>
      <c r="O35" s="40"/>
      <c r="P35" s="40" t="s">
        <v>271</v>
      </c>
      <c r="Q35" s="70">
        <f>Q37-Q36</f>
        <v>45949.490189798955</v>
      </c>
      <c r="S35">
        <v>18</v>
      </c>
      <c r="T35">
        <v>18</v>
      </c>
      <c r="U35" s="72">
        <f t="shared" si="8"/>
        <v>72000</v>
      </c>
      <c r="V35" s="72">
        <f t="shared" si="9"/>
        <v>72000</v>
      </c>
    </row>
    <row r="36" spans="1:23" x14ac:dyDescent="0.25">
      <c r="A36" s="28">
        <v>26</v>
      </c>
      <c r="B36" s="33">
        <v>44440</v>
      </c>
      <c r="C36" s="31">
        <v>4000</v>
      </c>
      <c r="D36" s="31">
        <f t="shared" si="7"/>
        <v>3748.5739061382392</v>
      </c>
      <c r="E36" s="31">
        <f t="shared" si="2"/>
        <v>2808.8534735231774</v>
      </c>
      <c r="F36" s="31">
        <f t="shared" si="3"/>
        <v>25279.68126170852</v>
      </c>
      <c r="G36" s="31">
        <f t="shared" si="4"/>
        <v>88.885235656067508</v>
      </c>
      <c r="H36" s="32">
        <f t="shared" si="5"/>
        <v>35642.97949808307</v>
      </c>
      <c r="J36" s="60"/>
      <c r="K36" s="61"/>
      <c r="L36" s="40" t="s">
        <v>0</v>
      </c>
      <c r="M36" s="164">
        <v>2422020</v>
      </c>
      <c r="N36" s="164"/>
      <c r="O36" s="40"/>
      <c r="P36" s="40" t="s">
        <v>161</v>
      </c>
      <c r="Q36" s="70">
        <f>SUM(G22:G33)</f>
        <v>2050.5098102010429</v>
      </c>
      <c r="S36">
        <v>17</v>
      </c>
      <c r="T36">
        <v>19</v>
      </c>
      <c r="U36" s="72">
        <f t="shared" si="8"/>
        <v>76000</v>
      </c>
      <c r="V36" s="72">
        <f t="shared" si="9"/>
        <v>76000</v>
      </c>
    </row>
    <row r="37" spans="1:23" x14ac:dyDescent="0.25">
      <c r="A37" s="28">
        <v>27</v>
      </c>
      <c r="B37" s="33">
        <v>44470</v>
      </c>
      <c r="C37" s="31">
        <v>4000</v>
      </c>
      <c r="D37" s="31">
        <f t="shared" si="7"/>
        <v>3739.2258415344036</v>
      </c>
      <c r="E37" s="31">
        <f t="shared" si="2"/>
        <v>2808.8534735231774</v>
      </c>
      <c r="F37" s="31">
        <f t="shared" si="3"/>
        <v>22470.827788185343</v>
      </c>
      <c r="G37" s="31">
        <f t="shared" si="4"/>
        <v>79.107448745207677</v>
      </c>
      <c r="H37" s="32">
        <f t="shared" si="5"/>
        <v>31722.086946828276</v>
      </c>
      <c r="J37" s="60"/>
      <c r="K37" s="61"/>
      <c r="L37" s="40" t="s">
        <v>1</v>
      </c>
      <c r="M37" s="164">
        <v>5220002</v>
      </c>
      <c r="N37" s="164"/>
      <c r="O37" s="40"/>
      <c r="P37" s="40" t="s">
        <v>385</v>
      </c>
      <c r="Q37" s="70">
        <f>SUM(C22:C33)</f>
        <v>48000</v>
      </c>
      <c r="S37">
        <v>16</v>
      </c>
      <c r="T37">
        <v>20</v>
      </c>
      <c r="U37" s="72">
        <f t="shared" si="8"/>
        <v>80000</v>
      </c>
      <c r="V37" s="72">
        <f t="shared" si="9"/>
        <v>80000</v>
      </c>
    </row>
    <row r="38" spans="1:23" x14ac:dyDescent="0.25">
      <c r="A38" s="28">
        <v>28</v>
      </c>
      <c r="B38" s="33">
        <v>44501</v>
      </c>
      <c r="C38" s="31">
        <v>4000</v>
      </c>
      <c r="D38" s="31">
        <f t="shared" si="7"/>
        <v>3729.9010888123726</v>
      </c>
      <c r="E38" s="31">
        <f t="shared" si="2"/>
        <v>2808.8534735231774</v>
      </c>
      <c r="F38" s="31">
        <f t="shared" si="3"/>
        <v>19661.974314662166</v>
      </c>
      <c r="G38" s="31">
        <f t="shared" si="4"/>
        <v>69.305217367070696</v>
      </c>
      <c r="H38" s="32">
        <f t="shared" si="5"/>
        <v>27791.392164195346</v>
      </c>
      <c r="J38" s="133" t="s">
        <v>119</v>
      </c>
      <c r="K38" s="61"/>
      <c r="L38" s="40"/>
      <c r="M38" s="164"/>
      <c r="N38" s="164"/>
      <c r="O38" s="40"/>
      <c r="P38" s="40"/>
      <c r="Q38" s="70"/>
      <c r="S38">
        <v>15</v>
      </c>
      <c r="T38">
        <v>21</v>
      </c>
      <c r="U38" s="72">
        <f t="shared" si="8"/>
        <v>84000</v>
      </c>
      <c r="V38" s="72">
        <f t="shared" si="9"/>
        <v>84000</v>
      </c>
    </row>
    <row r="39" spans="1:23" ht="15.75" thickBot="1" x14ac:dyDescent="0.3">
      <c r="A39" s="28">
        <v>29</v>
      </c>
      <c r="B39" s="33">
        <v>44531</v>
      </c>
      <c r="C39" s="31">
        <v>4000</v>
      </c>
      <c r="D39" s="31">
        <f t="shared" si="7"/>
        <v>3720.5995898377773</v>
      </c>
      <c r="E39" s="31">
        <f t="shared" si="2"/>
        <v>2808.8534735231774</v>
      </c>
      <c r="F39" s="31">
        <f t="shared" si="3"/>
        <v>16853.120841138989</v>
      </c>
      <c r="G39" s="31">
        <f t="shared" si="4"/>
        <v>59.478480410488366</v>
      </c>
      <c r="H39" s="32">
        <f t="shared" si="5"/>
        <v>23850.870644605835</v>
      </c>
      <c r="J39" s="136"/>
      <c r="K39" s="137"/>
      <c r="L39" s="137"/>
      <c r="M39" s="172"/>
      <c r="N39" s="172"/>
      <c r="O39" s="137"/>
      <c r="P39" s="137"/>
      <c r="Q39" s="173"/>
      <c r="S39">
        <v>14</v>
      </c>
      <c r="T39">
        <v>22</v>
      </c>
      <c r="U39" s="72">
        <f t="shared" si="8"/>
        <v>88000</v>
      </c>
      <c r="V39" s="72">
        <f t="shared" si="9"/>
        <v>88000</v>
      </c>
    </row>
    <row r="40" spans="1:23" x14ac:dyDescent="0.25">
      <c r="A40" s="28">
        <v>30</v>
      </c>
      <c r="B40" s="33">
        <v>44562</v>
      </c>
      <c r="C40" s="31">
        <v>4000</v>
      </c>
      <c r="D40" s="31">
        <f t="shared" si="7"/>
        <v>3711.3212866212257</v>
      </c>
      <c r="E40" s="31">
        <f t="shared" si="2"/>
        <v>2808.8534735231774</v>
      </c>
      <c r="F40" s="31">
        <f t="shared" si="3"/>
        <v>14044.267367615812</v>
      </c>
      <c r="G40" s="31">
        <f t="shared" si="4"/>
        <v>49.627176611514585</v>
      </c>
      <c r="H40" s="32">
        <f t="shared" si="5"/>
        <v>19900.497821217348</v>
      </c>
      <c r="J40" s="115" t="s">
        <v>203</v>
      </c>
      <c r="K40" s="116" t="s">
        <v>107</v>
      </c>
      <c r="L40" s="40" t="s">
        <v>0</v>
      </c>
      <c r="M40" s="164">
        <v>2241002</v>
      </c>
      <c r="N40" s="164"/>
      <c r="O40" s="40"/>
      <c r="P40" s="40" t="s">
        <v>251</v>
      </c>
      <c r="Q40" s="70">
        <f>SUM(E34:E45)</f>
        <v>33706.241682278131</v>
      </c>
      <c r="S40">
        <v>13</v>
      </c>
      <c r="T40">
        <v>23</v>
      </c>
      <c r="U40" s="72">
        <f t="shared" si="8"/>
        <v>92000</v>
      </c>
      <c r="V40" s="72">
        <f t="shared" si="9"/>
        <v>92000</v>
      </c>
    </row>
    <row r="41" spans="1:23" x14ac:dyDescent="0.25">
      <c r="A41" s="28">
        <v>31</v>
      </c>
      <c r="B41" s="33">
        <v>44593</v>
      </c>
      <c r="C41" s="31">
        <v>4000</v>
      </c>
      <c r="D41" s="31">
        <f t="shared" si="7"/>
        <v>3702.0661213179314</v>
      </c>
      <c r="E41" s="31">
        <f t="shared" si="2"/>
        <v>2808.8534735231774</v>
      </c>
      <c r="F41" s="31">
        <f t="shared" si="3"/>
        <v>11235.413894092635</v>
      </c>
      <c r="G41" s="31">
        <f t="shared" si="4"/>
        <v>39.751244553043371</v>
      </c>
      <c r="H41" s="32">
        <f t="shared" si="5"/>
        <v>15940.249065770391</v>
      </c>
      <c r="J41" s="60"/>
      <c r="K41" s="61"/>
      <c r="L41" s="40" t="s">
        <v>1</v>
      </c>
      <c r="M41" s="164">
        <v>5311002</v>
      </c>
      <c r="N41" s="164">
        <v>7353</v>
      </c>
      <c r="O41" s="40"/>
      <c r="P41" s="40" t="s">
        <v>105</v>
      </c>
      <c r="Q41" s="70">
        <f>Q40</f>
        <v>33706.241682278131</v>
      </c>
      <c r="S41">
        <v>12</v>
      </c>
      <c r="T41">
        <v>24</v>
      </c>
      <c r="U41" s="72">
        <f t="shared" si="8"/>
        <v>96000</v>
      </c>
      <c r="V41" s="72">
        <f t="shared" si="9"/>
        <v>96000</v>
      </c>
    </row>
    <row r="42" spans="1:23" x14ac:dyDescent="0.25">
      <c r="A42" s="28">
        <v>32</v>
      </c>
      <c r="B42" s="33">
        <v>44621</v>
      </c>
      <c r="C42" s="31">
        <v>4000</v>
      </c>
      <c r="D42" s="31">
        <f t="shared" si="7"/>
        <v>3692.834036227362</v>
      </c>
      <c r="E42" s="31">
        <f t="shared" si="2"/>
        <v>2808.8534735231774</v>
      </c>
      <c r="F42" s="31">
        <f t="shared" si="3"/>
        <v>8426.5604205694581</v>
      </c>
      <c r="G42" s="31">
        <f t="shared" si="4"/>
        <v>29.850622664425977</v>
      </c>
      <c r="H42" s="32">
        <f t="shared" si="5"/>
        <v>11970.099688434817</v>
      </c>
      <c r="J42" s="133" t="s">
        <v>193</v>
      </c>
      <c r="K42" s="61"/>
      <c r="L42" s="40"/>
      <c r="M42" s="164"/>
      <c r="N42" s="164"/>
      <c r="O42" s="40"/>
      <c r="P42" s="40"/>
      <c r="Q42" s="70"/>
      <c r="S42">
        <v>11</v>
      </c>
      <c r="T42">
        <v>25</v>
      </c>
      <c r="U42" s="72">
        <f t="shared" si="8"/>
        <v>100000</v>
      </c>
      <c r="V42" s="72">
        <f t="shared" si="9"/>
        <v>100000</v>
      </c>
    </row>
    <row r="43" spans="1:23" x14ac:dyDescent="0.25">
      <c r="A43" s="28">
        <v>33</v>
      </c>
      <c r="B43" s="33">
        <v>44652</v>
      </c>
      <c r="C43" s="31">
        <v>4000</v>
      </c>
      <c r="D43" s="31">
        <f t="shared" si="7"/>
        <v>3683.6249737928802</v>
      </c>
      <c r="E43" s="31">
        <f t="shared" si="2"/>
        <v>2808.8534735231774</v>
      </c>
      <c r="F43" s="31">
        <f t="shared" si="3"/>
        <v>5617.7069470462811</v>
      </c>
      <c r="G43" s="31">
        <f t="shared" si="4"/>
        <v>19.925249221087043</v>
      </c>
      <c r="H43" s="32">
        <f t="shared" si="5"/>
        <v>7990.0249376559041</v>
      </c>
      <c r="J43" s="60"/>
      <c r="K43" s="61"/>
      <c r="L43" s="40"/>
      <c r="M43" s="164"/>
      <c r="N43" s="164"/>
      <c r="O43" s="40"/>
      <c r="P43" s="40"/>
      <c r="Q43" s="70"/>
      <c r="S43">
        <v>10</v>
      </c>
      <c r="T43">
        <v>26</v>
      </c>
      <c r="U43" s="72">
        <f t="shared" si="8"/>
        <v>104000</v>
      </c>
      <c r="V43" s="72">
        <f t="shared" si="9"/>
        <v>104000</v>
      </c>
    </row>
    <row r="44" spans="1:23" x14ac:dyDescent="0.25">
      <c r="A44" s="28">
        <v>34</v>
      </c>
      <c r="B44" s="33">
        <v>44682</v>
      </c>
      <c r="C44" s="31">
        <v>4000</v>
      </c>
      <c r="D44" s="31">
        <f t="shared" si="7"/>
        <v>3674.4388766013772</v>
      </c>
      <c r="E44" s="31">
        <f t="shared" si="2"/>
        <v>2808.8534735231774</v>
      </c>
      <c r="F44" s="31">
        <f t="shared" si="3"/>
        <v>2808.8534735231037</v>
      </c>
      <c r="G44" s="31">
        <f t="shared" si="4"/>
        <v>9.9750623441397597</v>
      </c>
      <c r="H44" s="32">
        <f t="shared" si="5"/>
        <v>4000.0000000000437</v>
      </c>
      <c r="J44" s="134" t="s">
        <v>204</v>
      </c>
      <c r="K44" s="116" t="s">
        <v>107</v>
      </c>
      <c r="L44" s="40" t="s">
        <v>0</v>
      </c>
      <c r="M44" s="164">
        <v>3240106</v>
      </c>
      <c r="N44" s="164"/>
      <c r="O44" s="40"/>
      <c r="P44" s="40" t="s">
        <v>271</v>
      </c>
      <c r="Q44" s="70">
        <f>Q46-Q45</f>
        <v>47347.087903609507</v>
      </c>
      <c r="S44">
        <v>9</v>
      </c>
      <c r="T44">
        <v>27</v>
      </c>
      <c r="U44" s="72">
        <f t="shared" si="8"/>
        <v>108000</v>
      </c>
      <c r="V44" s="72">
        <f t="shared" si="9"/>
        <v>108000</v>
      </c>
    </row>
    <row r="45" spans="1:23" x14ac:dyDescent="0.25">
      <c r="A45" s="28">
        <v>35</v>
      </c>
      <c r="B45" s="33">
        <v>44713</v>
      </c>
      <c r="C45" s="31">
        <v>4000</v>
      </c>
      <c r="D45" s="31">
        <f>+C45/(1+F$1)^A45</f>
        <v>3665.2756873829203</v>
      </c>
      <c r="E45" s="31">
        <f t="shared" si="2"/>
        <v>2808.8534735231774</v>
      </c>
      <c r="F45" s="31">
        <f t="shared" si="3"/>
        <v>-7.3669070843607187E-11</v>
      </c>
      <c r="G45" s="31">
        <f t="shared" si="4"/>
        <v>1.0913936421275138E-13</v>
      </c>
      <c r="H45" s="32">
        <f t="shared" si="5"/>
        <v>4.3764885049313304E-11</v>
      </c>
      <c r="J45" s="60"/>
      <c r="K45" s="61"/>
      <c r="L45" s="40" t="s">
        <v>0</v>
      </c>
      <c r="M45" s="164">
        <v>2422020</v>
      </c>
      <c r="N45" s="164"/>
      <c r="O45" s="40"/>
      <c r="P45" s="40" t="s">
        <v>161</v>
      </c>
      <c r="Q45" s="70">
        <f>SUM(G34:G45)</f>
        <v>652.91209639049043</v>
      </c>
      <c r="S45">
        <v>8</v>
      </c>
      <c r="T45">
        <v>28</v>
      </c>
      <c r="U45" s="72">
        <f t="shared" si="8"/>
        <v>112000</v>
      </c>
      <c r="V45" s="72">
        <f t="shared" si="9"/>
        <v>112000</v>
      </c>
    </row>
    <row r="46" spans="1:23" x14ac:dyDescent="0.25">
      <c r="A46" s="28"/>
      <c r="B46" s="29"/>
      <c r="C46" s="30">
        <f>SUM(C9:C45)</f>
        <v>144000</v>
      </c>
      <c r="D46" s="30">
        <f>SUM(D9:D45)</f>
        <v>137889.72504683438</v>
      </c>
      <c r="E46" s="30">
        <f>SUM(E9:E45)</f>
        <v>101118.72504683446</v>
      </c>
      <c r="F46" s="29"/>
      <c r="G46" s="30">
        <f>SUM(G9:G45)</f>
        <v>6110.2749531656764</v>
      </c>
      <c r="H46" s="113"/>
      <c r="J46" s="60"/>
      <c r="K46" s="61"/>
      <c r="L46" s="40" t="s">
        <v>1</v>
      </c>
      <c r="M46" s="164">
        <v>5220002</v>
      </c>
      <c r="N46" s="164"/>
      <c r="O46" s="40"/>
      <c r="P46" s="40" t="s">
        <v>385</v>
      </c>
      <c r="Q46" s="70">
        <f>SUM(C34:C45)</f>
        <v>48000</v>
      </c>
      <c r="S46">
        <v>7</v>
      </c>
      <c r="T46">
        <v>29</v>
      </c>
      <c r="U46" s="72">
        <f t="shared" si="8"/>
        <v>116000</v>
      </c>
      <c r="V46" s="72">
        <f t="shared" si="9"/>
        <v>116000</v>
      </c>
    </row>
    <row r="47" spans="1:23" x14ac:dyDescent="0.25">
      <c r="A47" s="28"/>
      <c r="B47" s="29"/>
      <c r="C47" s="29"/>
      <c r="D47" s="29"/>
      <c r="E47" s="29"/>
      <c r="F47" s="29"/>
      <c r="G47" s="29"/>
      <c r="H47" s="113"/>
      <c r="J47" s="133" t="s">
        <v>121</v>
      </c>
      <c r="K47" s="61"/>
      <c r="L47" s="40"/>
      <c r="M47" s="164"/>
      <c r="N47" s="164"/>
      <c r="O47" s="40"/>
      <c r="P47" s="40"/>
      <c r="Q47" s="70"/>
      <c r="S47">
        <v>6</v>
      </c>
      <c r="T47">
        <v>30</v>
      </c>
      <c r="U47" s="72">
        <f t="shared" si="8"/>
        <v>120000</v>
      </c>
      <c r="V47" s="72">
        <f t="shared" si="9"/>
        <v>120000</v>
      </c>
    </row>
    <row r="48" spans="1:23" ht="6" customHeight="1" thickBot="1" x14ac:dyDescent="0.3">
      <c r="A48" s="35"/>
      <c r="B48" s="36"/>
      <c r="C48" s="130"/>
      <c r="D48" s="36"/>
      <c r="E48" s="36"/>
      <c r="F48" s="36"/>
      <c r="G48" s="36"/>
      <c r="H48" s="38"/>
      <c r="J48" s="136"/>
      <c r="K48" s="137"/>
      <c r="L48" s="137"/>
      <c r="M48" s="172"/>
      <c r="N48" s="172"/>
      <c r="O48" s="137"/>
      <c r="P48" s="137"/>
      <c r="Q48" s="173"/>
    </row>
    <row r="49" spans="1:21" ht="14.25" customHeight="1" thickBot="1" x14ac:dyDescent="0.3"/>
    <row r="50" spans="1:21" x14ac:dyDescent="0.25">
      <c r="A50" s="278" t="s">
        <v>278</v>
      </c>
      <c r="B50" s="279"/>
      <c r="C50" s="279"/>
      <c r="D50" s="279"/>
      <c r="E50" s="279"/>
      <c r="F50" s="279"/>
      <c r="G50" s="279"/>
      <c r="H50" s="279"/>
      <c r="I50" s="279"/>
      <c r="J50" s="279"/>
      <c r="K50" s="279"/>
      <c r="L50" s="279"/>
      <c r="M50" s="279"/>
      <c r="N50" s="279"/>
      <c r="O50" s="279"/>
      <c r="P50" s="279"/>
      <c r="Q50" s="280"/>
    </row>
    <row r="51" spans="1:21" x14ac:dyDescent="0.25">
      <c r="A51" s="287" t="s">
        <v>442</v>
      </c>
      <c r="B51" s="288"/>
      <c r="C51" s="288"/>
      <c r="D51" s="288"/>
      <c r="E51" s="288"/>
      <c r="F51" s="288"/>
      <c r="G51" s="288"/>
      <c r="H51" s="288"/>
      <c r="I51" s="288"/>
      <c r="J51" s="288"/>
      <c r="K51" s="288"/>
      <c r="L51" s="288"/>
      <c r="M51" s="288"/>
      <c r="N51" s="288"/>
      <c r="O51" s="288"/>
      <c r="P51" s="288"/>
      <c r="Q51" s="289"/>
    </row>
    <row r="52" spans="1:21" ht="31.5" customHeight="1" x14ac:dyDescent="0.25">
      <c r="A52" s="427" t="s">
        <v>411</v>
      </c>
      <c r="B52" s="428"/>
      <c r="C52" s="428"/>
      <c r="D52" s="428"/>
      <c r="E52" s="428"/>
      <c r="F52" s="428"/>
      <c r="G52" s="428"/>
      <c r="H52" s="428"/>
      <c r="I52" s="428"/>
      <c r="J52" s="428"/>
      <c r="K52" s="428"/>
      <c r="L52" s="428"/>
      <c r="M52" s="428"/>
      <c r="N52" s="428"/>
      <c r="O52" s="428"/>
      <c r="P52" s="428"/>
      <c r="Q52" s="429"/>
    </row>
    <row r="53" spans="1:21" ht="15.75" thickBot="1" x14ac:dyDescent="0.3">
      <c r="A53" s="291"/>
      <c r="B53" s="292"/>
      <c r="C53" s="292"/>
      <c r="D53" s="292"/>
      <c r="E53" s="292"/>
      <c r="F53" s="292"/>
      <c r="G53" s="292"/>
      <c r="H53" s="292"/>
      <c r="I53" s="292"/>
      <c r="J53" s="292"/>
      <c r="K53" s="292"/>
      <c r="L53" s="292"/>
      <c r="M53" s="292"/>
      <c r="N53" s="292"/>
      <c r="O53" s="292"/>
      <c r="P53" s="292"/>
      <c r="Q53" s="293"/>
    </row>
    <row r="54" spans="1:21" ht="15.75" thickBot="1" x14ac:dyDescent="0.3">
      <c r="A54" s="290"/>
      <c r="B54" s="290"/>
      <c r="C54" s="290"/>
      <c r="D54" s="290"/>
      <c r="E54" s="290"/>
      <c r="F54" s="290"/>
      <c r="G54" s="290"/>
      <c r="H54" s="290"/>
      <c r="I54" s="290"/>
      <c r="J54" s="290"/>
      <c r="K54" s="290"/>
      <c r="L54" s="290"/>
      <c r="M54" s="290"/>
      <c r="N54" s="290"/>
      <c r="O54" s="290"/>
      <c r="P54" s="290"/>
      <c r="Q54" s="290"/>
    </row>
    <row r="55" spans="1:21" s="107" customFormat="1" x14ac:dyDescent="0.25">
      <c r="A55" s="278" t="s">
        <v>223</v>
      </c>
      <c r="B55" s="279"/>
      <c r="C55" s="279"/>
      <c r="D55" s="279"/>
      <c r="E55" s="279"/>
      <c r="F55" s="279"/>
      <c r="G55" s="279"/>
      <c r="H55" s="279"/>
      <c r="I55" s="279"/>
      <c r="J55" s="279"/>
      <c r="K55" s="279"/>
      <c r="L55" s="279"/>
      <c r="M55" s="279"/>
      <c r="N55" s="279"/>
      <c r="O55" s="279"/>
      <c r="P55" s="279"/>
      <c r="Q55" s="280"/>
      <c r="U55" s="149"/>
    </row>
    <row r="56" spans="1:21" s="107" customFormat="1" x14ac:dyDescent="0.25">
      <c r="A56" s="308" t="s">
        <v>241</v>
      </c>
      <c r="B56" s="309"/>
      <c r="C56" s="309"/>
      <c r="D56" s="309"/>
      <c r="E56" s="309"/>
      <c r="F56" s="309"/>
      <c r="G56" s="309"/>
      <c r="H56" s="309"/>
      <c r="I56" s="309"/>
      <c r="J56" s="309"/>
      <c r="K56" s="309"/>
      <c r="L56" s="309"/>
      <c r="M56" s="309"/>
      <c r="N56" s="309"/>
      <c r="O56" s="309"/>
      <c r="P56" s="309"/>
      <c r="Q56" s="310"/>
      <c r="U56" s="149"/>
    </row>
    <row r="57" spans="1:21" s="107" customFormat="1" ht="10.5" customHeight="1" x14ac:dyDescent="0.25">
      <c r="A57" s="311"/>
      <c r="B57" s="312"/>
      <c r="C57" s="312"/>
      <c r="D57" s="312"/>
      <c r="E57" s="312"/>
      <c r="F57" s="312"/>
      <c r="G57" s="312"/>
      <c r="H57" s="312"/>
      <c r="I57" s="312"/>
      <c r="J57" s="312"/>
      <c r="K57" s="312"/>
      <c r="L57" s="312"/>
      <c r="M57" s="312"/>
      <c r="N57" s="312"/>
      <c r="O57" s="312"/>
      <c r="P57" s="312"/>
      <c r="Q57" s="313"/>
      <c r="U57" s="149"/>
    </row>
    <row r="58" spans="1:21" x14ac:dyDescent="0.25">
      <c r="A58" s="299" t="s">
        <v>391</v>
      </c>
      <c r="B58" s="300"/>
      <c r="C58" s="300"/>
      <c r="D58" s="300"/>
      <c r="E58" s="300"/>
      <c r="F58" s="300"/>
      <c r="G58" s="300"/>
      <c r="H58" s="300"/>
      <c r="I58" s="300"/>
      <c r="J58" s="300"/>
      <c r="K58" s="300"/>
      <c r="L58" s="300"/>
      <c r="M58" s="300"/>
      <c r="N58" s="300"/>
      <c r="O58" s="300"/>
      <c r="P58" s="300"/>
      <c r="Q58" s="301"/>
    </row>
    <row r="59" spans="1:21" ht="10.5" customHeight="1" x14ac:dyDescent="0.25">
      <c r="A59" s="294"/>
      <c r="B59" s="295"/>
      <c r="C59" s="295"/>
      <c r="D59" s="295"/>
      <c r="E59" s="295"/>
      <c r="F59" s="295"/>
      <c r="G59" s="295"/>
      <c r="H59" s="295"/>
      <c r="I59" s="295"/>
      <c r="J59" s="295"/>
      <c r="K59" s="295"/>
      <c r="L59" s="295"/>
      <c r="M59" s="295"/>
      <c r="N59" s="295"/>
      <c r="O59" s="295"/>
      <c r="P59" s="295"/>
      <c r="Q59" s="296"/>
    </row>
    <row r="60" spans="1:21" ht="60" customHeight="1" x14ac:dyDescent="0.25">
      <c r="A60" s="294" t="s">
        <v>392</v>
      </c>
      <c r="B60" s="297"/>
      <c r="C60" s="297"/>
      <c r="D60" s="297"/>
      <c r="E60" s="297"/>
      <c r="F60" s="297"/>
      <c r="G60" s="297"/>
      <c r="H60" s="297"/>
      <c r="I60" s="297"/>
      <c r="J60" s="297"/>
      <c r="K60" s="297"/>
      <c r="L60" s="297"/>
      <c r="M60" s="297"/>
      <c r="N60" s="297"/>
      <c r="O60" s="297"/>
      <c r="P60" s="297"/>
      <c r="Q60" s="298"/>
    </row>
    <row r="61" spans="1:21" ht="15.75" customHeight="1" thickBot="1" x14ac:dyDescent="0.3">
      <c r="A61" s="314"/>
      <c r="B61" s="315"/>
      <c r="C61" s="315"/>
      <c r="D61" s="315"/>
      <c r="E61" s="315"/>
      <c r="F61" s="315"/>
      <c r="G61" s="315"/>
      <c r="H61" s="315"/>
      <c r="I61" s="315"/>
      <c r="J61" s="315"/>
      <c r="K61" s="315"/>
      <c r="L61" s="315"/>
      <c r="M61" s="315"/>
      <c r="N61" s="315"/>
      <c r="O61" s="315"/>
      <c r="P61" s="315"/>
      <c r="Q61" s="316"/>
    </row>
  </sheetData>
  <mergeCells count="17">
    <mergeCell ref="A3:Q3"/>
    <mergeCell ref="A4:Q4"/>
    <mergeCell ref="A5:Q5"/>
    <mergeCell ref="A7:H7"/>
    <mergeCell ref="J7:Q7"/>
    <mergeCell ref="A50:Q50"/>
    <mergeCell ref="A51:Q51"/>
    <mergeCell ref="A53:Q53"/>
    <mergeCell ref="A61:Q61"/>
    <mergeCell ref="A60:Q60"/>
    <mergeCell ref="A54:Q54"/>
    <mergeCell ref="A55:Q55"/>
    <mergeCell ref="A56:Q56"/>
    <mergeCell ref="A57:Q57"/>
    <mergeCell ref="A58:Q58"/>
    <mergeCell ref="A59:Q59"/>
    <mergeCell ref="A52:Q52"/>
  </mergeCells>
  <pageMargins left="0.70866141732283472" right="0.70866141732283472" top="0.74803149606299213" bottom="0.74803149606299213" header="0.31496062992125984" footer="0.31496062992125984"/>
  <pageSetup paperSize="8" scale="96" orientation="landscape" cellComments="asDisplayed" r:id="rId1"/>
  <rowBreaks count="1" manualBreakCount="1">
    <brk id="48" max="16" man="1"/>
  </rowBreaks>
  <colBreaks count="1" manualBreakCount="1">
    <brk id="17" max="1048575"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W59"/>
  <sheetViews>
    <sheetView tabSelected="1" view="pageBreakPreview" topLeftCell="A38" zoomScaleNormal="100" zoomScaleSheetLayoutView="100" workbookViewId="0">
      <selection activeCell="A51" sqref="A51:Q51"/>
    </sheetView>
  </sheetViews>
  <sheetFormatPr defaultRowHeight="15" outlineLevelRow="1" x14ac:dyDescent="0.25"/>
  <cols>
    <col min="1" max="1" width="3.140625" customWidth="1"/>
    <col min="2" max="2" width="7.28515625" customWidth="1"/>
    <col min="3" max="3" width="8.7109375" customWidth="1"/>
    <col min="4" max="4" width="8.85546875" customWidth="1"/>
    <col min="5" max="5" width="8.140625" customWidth="1"/>
    <col min="6" max="6" width="7.42578125" customWidth="1"/>
    <col min="7" max="7" width="8.140625" customWidth="1"/>
    <col min="8" max="8" width="8.28515625" customWidth="1"/>
    <col min="9" max="9" width="1.42578125" style="29" customWidth="1"/>
    <col min="10" max="10" width="3.140625" style="1" customWidth="1"/>
    <col min="11" max="11" width="9.5703125" style="1" customWidth="1"/>
    <col min="12" max="12" width="3.5703125" customWidth="1"/>
    <col min="13" max="13" width="9" style="160" customWidth="1"/>
    <col min="14" max="14" width="8.140625" style="160" customWidth="1"/>
    <col min="15" max="15" width="3" customWidth="1"/>
    <col min="16" max="16" width="53" customWidth="1"/>
    <col min="17" max="17" width="9.140625" style="72"/>
    <col min="19" max="20" width="0" hidden="1" customWidth="1"/>
    <col min="21" max="21" width="0" style="72" hidden="1" customWidth="1"/>
    <col min="22" max="22" width="0" hidden="1" customWidth="1"/>
  </cols>
  <sheetData>
    <row r="1" spans="1:22" x14ac:dyDescent="0.25">
      <c r="A1" s="1" t="s">
        <v>129</v>
      </c>
      <c r="C1" s="1"/>
      <c r="F1" s="22">
        <v>2.5000000000000001E-3</v>
      </c>
      <c r="G1" s="167"/>
      <c r="J1" s="168" t="s">
        <v>406</v>
      </c>
      <c r="P1" s="1"/>
    </row>
    <row r="2" spans="1:22" ht="9" customHeight="1" thickBot="1" x14ac:dyDescent="0.3"/>
    <row r="3" spans="1:22" s="106" customFormat="1" ht="15.75" outlineLevel="1" x14ac:dyDescent="0.25">
      <c r="A3" s="275" t="s">
        <v>183</v>
      </c>
      <c r="B3" s="276"/>
      <c r="C3" s="276"/>
      <c r="D3" s="276"/>
      <c r="E3" s="276"/>
      <c r="F3" s="276"/>
      <c r="G3" s="276"/>
      <c r="H3" s="276"/>
      <c r="I3" s="276"/>
      <c r="J3" s="276"/>
      <c r="K3" s="276"/>
      <c r="L3" s="276"/>
      <c r="M3" s="276"/>
      <c r="N3" s="276"/>
      <c r="O3" s="276"/>
      <c r="P3" s="276"/>
      <c r="Q3" s="277"/>
      <c r="U3" s="147"/>
    </row>
    <row r="4" spans="1:22" s="106" customFormat="1" ht="36" customHeight="1" outlineLevel="1" x14ac:dyDescent="0.25">
      <c r="A4" s="281" t="s">
        <v>410</v>
      </c>
      <c r="B4" s="282"/>
      <c r="C4" s="282"/>
      <c r="D4" s="282"/>
      <c r="E4" s="282"/>
      <c r="F4" s="282"/>
      <c r="G4" s="282"/>
      <c r="H4" s="282"/>
      <c r="I4" s="282"/>
      <c r="J4" s="282"/>
      <c r="K4" s="282"/>
      <c r="L4" s="282"/>
      <c r="M4" s="282"/>
      <c r="N4" s="282"/>
      <c r="O4" s="282"/>
      <c r="P4" s="282"/>
      <c r="Q4" s="283"/>
      <c r="U4" s="147"/>
    </row>
    <row r="5" spans="1:22" s="106" customFormat="1" ht="33" customHeight="1" outlineLevel="1" x14ac:dyDescent="0.25">
      <c r="A5" s="281" t="s">
        <v>409</v>
      </c>
      <c r="B5" s="282"/>
      <c r="C5" s="282"/>
      <c r="D5" s="282"/>
      <c r="E5" s="282"/>
      <c r="F5" s="282"/>
      <c r="G5" s="282"/>
      <c r="H5" s="282"/>
      <c r="I5" s="282"/>
      <c r="J5" s="282"/>
      <c r="K5" s="282"/>
      <c r="L5" s="282"/>
      <c r="M5" s="282"/>
      <c r="N5" s="282"/>
      <c r="O5" s="282"/>
      <c r="P5" s="282"/>
      <c r="Q5" s="283"/>
      <c r="U5" s="147"/>
    </row>
    <row r="6" spans="1:22" s="106" customFormat="1" ht="8.25" customHeight="1" outlineLevel="1" thickBot="1" x14ac:dyDescent="0.3">
      <c r="A6" s="305"/>
      <c r="B6" s="306"/>
      <c r="C6" s="306"/>
      <c r="D6" s="306"/>
      <c r="E6" s="306"/>
      <c r="F6" s="306"/>
      <c r="G6" s="306"/>
      <c r="H6" s="306"/>
      <c r="I6" s="306"/>
      <c r="J6" s="306"/>
      <c r="K6" s="306"/>
      <c r="L6" s="306"/>
      <c r="M6" s="306"/>
      <c r="N6" s="306"/>
      <c r="O6" s="306"/>
      <c r="P6" s="306"/>
      <c r="Q6" s="307"/>
      <c r="U6" s="147"/>
    </row>
    <row r="7" spans="1:22" ht="15" customHeight="1" thickBot="1" x14ac:dyDescent="0.3"/>
    <row r="8" spans="1:22" ht="15.75" thickBot="1" x14ac:dyDescent="0.3">
      <c r="A8" s="284" t="s">
        <v>184</v>
      </c>
      <c r="B8" s="285"/>
      <c r="C8" s="285"/>
      <c r="D8" s="285"/>
      <c r="E8" s="285"/>
      <c r="F8" s="285"/>
      <c r="G8" s="285"/>
      <c r="H8" s="286"/>
      <c r="J8" s="302" t="s">
        <v>337</v>
      </c>
      <c r="K8" s="303"/>
      <c r="L8" s="303"/>
      <c r="M8" s="303"/>
      <c r="N8" s="303"/>
      <c r="O8" s="303"/>
      <c r="P8" s="303"/>
      <c r="Q8" s="304"/>
    </row>
    <row r="9" spans="1:22" s="1" customFormat="1" ht="49.5" customHeight="1" thickBot="1" x14ac:dyDescent="0.3">
      <c r="A9" s="150" t="s">
        <v>99</v>
      </c>
      <c r="B9" s="151" t="s">
        <v>98</v>
      </c>
      <c r="C9" s="152" t="s">
        <v>92</v>
      </c>
      <c r="D9" s="152" t="s">
        <v>93</v>
      </c>
      <c r="E9" s="152" t="s">
        <v>97</v>
      </c>
      <c r="F9" s="152" t="s">
        <v>96</v>
      </c>
      <c r="G9" s="152" t="s">
        <v>95</v>
      </c>
      <c r="H9" s="153" t="s">
        <v>104</v>
      </c>
      <c r="I9" s="71"/>
      <c r="J9" s="78"/>
      <c r="K9" s="79" t="s">
        <v>172</v>
      </c>
      <c r="L9" s="79"/>
      <c r="M9" s="161" t="s">
        <v>168</v>
      </c>
      <c r="N9" s="161" t="s">
        <v>169</v>
      </c>
      <c r="O9" s="79" t="s">
        <v>152</v>
      </c>
      <c r="P9" s="79" t="s">
        <v>170</v>
      </c>
      <c r="Q9" s="80" t="s">
        <v>171</v>
      </c>
      <c r="U9" s="148"/>
    </row>
    <row r="10" spans="1:22" s="1" customFormat="1" x14ac:dyDescent="0.25">
      <c r="A10" s="84"/>
      <c r="B10" s="154"/>
      <c r="C10" s="30"/>
      <c r="D10" s="30"/>
      <c r="E10" s="30"/>
      <c r="F10" s="30">
        <f>+D47</f>
        <v>137889.72504683438</v>
      </c>
      <c r="G10" s="30"/>
      <c r="H10" s="34">
        <f>+D47</f>
        <v>137889.72504683438</v>
      </c>
      <c r="I10" s="71"/>
      <c r="J10" s="60"/>
      <c r="K10" s="145"/>
      <c r="L10" s="145"/>
      <c r="M10" s="162"/>
      <c r="N10" s="162"/>
      <c r="O10" s="145"/>
      <c r="P10" s="145"/>
      <c r="Q10" s="146"/>
      <c r="S10" s="1">
        <v>36</v>
      </c>
      <c r="U10" s="148">
        <f t="shared" ref="U10:U22" si="0">+(C$47/36)*T10</f>
        <v>0</v>
      </c>
    </row>
    <row r="11" spans="1:22" x14ac:dyDescent="0.25">
      <c r="A11" s="28">
        <v>0</v>
      </c>
      <c r="B11" s="33">
        <v>43647</v>
      </c>
      <c r="C11" s="31">
        <v>4000</v>
      </c>
      <c r="D11" s="31">
        <f>+C11/(1+F$1)^A11</f>
        <v>4000</v>
      </c>
      <c r="E11" s="31">
        <f>+F$10/36</f>
        <v>3830.2701401898439</v>
      </c>
      <c r="F11" s="31">
        <f>+F10-E11</f>
        <v>134059.45490664453</v>
      </c>
      <c r="G11" s="31">
        <f>+(H10-C11)*F$1</f>
        <v>334.72431261708596</v>
      </c>
      <c r="H11" s="32">
        <f>+H10-C11+G11</f>
        <v>134224.44935945148</v>
      </c>
      <c r="J11" s="115" t="s">
        <v>109</v>
      </c>
      <c r="K11" s="135">
        <v>43647</v>
      </c>
      <c r="L11" s="156" t="s">
        <v>0</v>
      </c>
      <c r="M11" s="142">
        <v>5311002</v>
      </c>
      <c r="N11" s="142">
        <v>7321</v>
      </c>
      <c r="O11" s="156"/>
      <c r="P11" s="143" t="s">
        <v>399</v>
      </c>
      <c r="Q11" s="110">
        <f>+F10</f>
        <v>137889.72504683438</v>
      </c>
      <c r="S11">
        <v>35</v>
      </c>
      <c r="T11">
        <v>1</v>
      </c>
      <c r="U11" s="72">
        <f t="shared" si="0"/>
        <v>4000</v>
      </c>
      <c r="V11" s="72">
        <f>+C11</f>
        <v>4000</v>
      </c>
    </row>
    <row r="12" spans="1:22" x14ac:dyDescent="0.25">
      <c r="A12" s="28">
        <v>1</v>
      </c>
      <c r="B12" s="33">
        <v>43678</v>
      </c>
      <c r="C12" s="31">
        <v>4000</v>
      </c>
      <c r="D12" s="31">
        <f t="shared" ref="D12:D20" si="1">+C12/(1+F$1)^A12</f>
        <v>3990.0249376558604</v>
      </c>
      <c r="E12" s="31">
        <f t="shared" ref="E12:E46" si="2">+F$10/36</f>
        <v>3830.2701401898439</v>
      </c>
      <c r="F12" s="31">
        <f t="shared" ref="F12:F46" si="3">+F11-E12</f>
        <v>130229.18476645469</v>
      </c>
      <c r="G12" s="31">
        <f t="shared" ref="G12:G45" si="4">+(H11-C12)*F$1</f>
        <v>325.56112339862869</v>
      </c>
      <c r="H12" s="32">
        <f t="shared" ref="H12:H46" si="5">+H11-C12+G12</f>
        <v>130550.01048285011</v>
      </c>
      <c r="J12" s="115"/>
      <c r="K12" s="156"/>
      <c r="L12" s="40" t="s">
        <v>1</v>
      </c>
      <c r="M12" s="164">
        <v>3240102</v>
      </c>
      <c r="N12" s="164"/>
      <c r="O12" s="40"/>
      <c r="P12" s="40" t="s">
        <v>270</v>
      </c>
      <c r="Q12" s="70">
        <f>+H10</f>
        <v>137889.72504683438</v>
      </c>
      <c r="S12">
        <v>34</v>
      </c>
      <c r="T12">
        <v>2</v>
      </c>
      <c r="U12" s="72">
        <f t="shared" si="0"/>
        <v>8000</v>
      </c>
      <c r="V12" s="72">
        <f t="shared" ref="V12:V22" si="6">+C12+V11</f>
        <v>8000</v>
      </c>
    </row>
    <row r="13" spans="1:22" s="221" customFormat="1" x14ac:dyDescent="0.25">
      <c r="A13" s="217">
        <v>2</v>
      </c>
      <c r="B13" s="218">
        <v>43709</v>
      </c>
      <c r="C13" s="219">
        <v>4000</v>
      </c>
      <c r="D13" s="219">
        <f t="shared" si="1"/>
        <v>3980.0747507789138</v>
      </c>
      <c r="E13" s="219">
        <f t="shared" si="2"/>
        <v>3830.2701401898439</v>
      </c>
      <c r="F13" s="219">
        <f t="shared" si="3"/>
        <v>126398.91462626486</v>
      </c>
      <c r="G13" s="219">
        <f t="shared" si="4"/>
        <v>316.37502620712525</v>
      </c>
      <c r="H13" s="229">
        <f t="shared" si="5"/>
        <v>126866.38550905723</v>
      </c>
      <c r="I13" s="220"/>
      <c r="J13" s="223" t="s">
        <v>398</v>
      </c>
      <c r="K13" s="135"/>
      <c r="L13" s="156"/>
      <c r="M13" s="142"/>
      <c r="N13" s="142"/>
      <c r="O13" s="156"/>
      <c r="P13" s="143"/>
      <c r="Q13" s="158"/>
      <c r="S13" s="221">
        <v>33</v>
      </c>
      <c r="T13" s="221">
        <v>3</v>
      </c>
      <c r="U13" s="222">
        <f t="shared" si="0"/>
        <v>12000</v>
      </c>
      <c r="V13" s="222">
        <f t="shared" si="6"/>
        <v>12000</v>
      </c>
    </row>
    <row r="14" spans="1:22" ht="18" customHeight="1" x14ac:dyDescent="0.25">
      <c r="A14" s="28">
        <v>3</v>
      </c>
      <c r="B14" s="33">
        <v>43739</v>
      </c>
      <c r="C14" s="31">
        <v>4000</v>
      </c>
      <c r="D14" s="31">
        <f t="shared" si="1"/>
        <v>3970.1493773355751</v>
      </c>
      <c r="E14" s="31">
        <f t="shared" si="2"/>
        <v>3830.2701401898439</v>
      </c>
      <c r="F14" s="31">
        <f t="shared" si="3"/>
        <v>122568.64448607502</v>
      </c>
      <c r="G14" s="31">
        <f t="shared" si="4"/>
        <v>307.16596377264307</v>
      </c>
      <c r="H14" s="32">
        <f t="shared" si="5"/>
        <v>123173.55147282987</v>
      </c>
      <c r="J14" s="223"/>
      <c r="K14" s="156"/>
      <c r="L14" s="109"/>
      <c r="M14" s="163"/>
      <c r="N14" s="163"/>
      <c r="O14" s="109"/>
      <c r="P14" s="109"/>
      <c r="Q14" s="110"/>
      <c r="S14">
        <v>32</v>
      </c>
      <c r="T14">
        <v>4</v>
      </c>
      <c r="U14" s="72">
        <f t="shared" si="0"/>
        <v>16000</v>
      </c>
      <c r="V14" s="72">
        <f t="shared" si="6"/>
        <v>16000</v>
      </c>
    </row>
    <row r="15" spans="1:22" ht="16.5" customHeight="1" x14ac:dyDescent="0.25">
      <c r="A15" s="28">
        <v>4</v>
      </c>
      <c r="B15" s="33">
        <v>43770</v>
      </c>
      <c r="C15" s="31">
        <v>4000</v>
      </c>
      <c r="D15" s="31">
        <f t="shared" si="1"/>
        <v>3960.2487554469576</v>
      </c>
      <c r="E15" s="31">
        <f t="shared" si="2"/>
        <v>3830.2701401898439</v>
      </c>
      <c r="F15" s="31">
        <f t="shared" si="3"/>
        <v>118738.37434588518</v>
      </c>
      <c r="G15" s="31">
        <f t="shared" si="4"/>
        <v>297.93387868207469</v>
      </c>
      <c r="H15" s="32">
        <f t="shared" si="5"/>
        <v>119471.48535151195</v>
      </c>
      <c r="J15" s="115" t="s">
        <v>110</v>
      </c>
      <c r="K15" s="116" t="s">
        <v>32</v>
      </c>
      <c r="L15" s="40" t="s">
        <v>0</v>
      </c>
      <c r="M15" s="164">
        <v>2241002</v>
      </c>
      <c r="N15" s="164"/>
      <c r="O15" s="40"/>
      <c r="P15" s="40" t="s">
        <v>251</v>
      </c>
      <c r="Q15" s="70">
        <f>SUM(E11:E22)</f>
        <v>45963.241682278131</v>
      </c>
      <c r="S15">
        <v>31</v>
      </c>
      <c r="T15">
        <v>5</v>
      </c>
      <c r="U15" s="72">
        <f t="shared" si="0"/>
        <v>20000</v>
      </c>
      <c r="V15" s="72">
        <f t="shared" si="6"/>
        <v>20000</v>
      </c>
    </row>
    <row r="16" spans="1:22" ht="15.75" customHeight="1" x14ac:dyDescent="0.25">
      <c r="A16" s="28">
        <v>5</v>
      </c>
      <c r="B16" s="33">
        <v>43800</v>
      </c>
      <c r="C16" s="31">
        <v>4000</v>
      </c>
      <c r="D16" s="31">
        <f t="shared" si="1"/>
        <v>3950.3728233884863</v>
      </c>
      <c r="E16" s="31">
        <f t="shared" si="2"/>
        <v>3830.2701401898439</v>
      </c>
      <c r="F16" s="31">
        <f t="shared" si="3"/>
        <v>114908.10420569534</v>
      </c>
      <c r="G16" s="31">
        <f t="shared" si="4"/>
        <v>288.67871337877989</v>
      </c>
      <c r="H16" s="32">
        <f t="shared" si="5"/>
        <v>115760.16406489072</v>
      </c>
      <c r="J16" s="223"/>
      <c r="K16" s="156"/>
      <c r="L16" s="109" t="s">
        <v>1</v>
      </c>
      <c r="M16" s="163">
        <v>5311002</v>
      </c>
      <c r="N16" s="163">
        <v>7353</v>
      </c>
      <c r="O16" s="109"/>
      <c r="P16" s="109" t="s">
        <v>105</v>
      </c>
      <c r="Q16" s="70">
        <f>Q15</f>
        <v>45963.241682278131</v>
      </c>
      <c r="S16">
        <v>30</v>
      </c>
      <c r="T16">
        <v>6</v>
      </c>
      <c r="U16" s="72">
        <f t="shared" si="0"/>
        <v>24000</v>
      </c>
      <c r="V16" s="72">
        <f t="shared" si="6"/>
        <v>24000</v>
      </c>
    </row>
    <row r="17" spans="1:23" x14ac:dyDescent="0.25">
      <c r="A17" s="28">
        <v>6</v>
      </c>
      <c r="B17" s="33">
        <v>43831</v>
      </c>
      <c r="C17" s="31">
        <v>4000</v>
      </c>
      <c r="D17" s="31">
        <f>+C17/(1+F$1)^A17</f>
        <v>3940.5215195895134</v>
      </c>
      <c r="E17" s="31">
        <f t="shared" si="2"/>
        <v>3830.2701401898439</v>
      </c>
      <c r="F17" s="31">
        <f t="shared" si="3"/>
        <v>111077.83406550551</v>
      </c>
      <c r="G17" s="31">
        <f t="shared" si="4"/>
        <v>279.40041016222682</v>
      </c>
      <c r="H17" s="32">
        <f t="shared" si="5"/>
        <v>112039.56447505295</v>
      </c>
      <c r="J17" s="223" t="s">
        <v>187</v>
      </c>
      <c r="K17" s="156"/>
      <c r="L17" s="109"/>
      <c r="M17" s="163"/>
      <c r="N17" s="163"/>
      <c r="O17" s="109"/>
      <c r="P17" s="109"/>
      <c r="Q17" s="70"/>
      <c r="S17">
        <v>29</v>
      </c>
      <c r="T17">
        <v>7</v>
      </c>
      <c r="U17" s="72">
        <f t="shared" si="0"/>
        <v>28000</v>
      </c>
      <c r="V17" s="72">
        <f t="shared" si="6"/>
        <v>28000</v>
      </c>
    </row>
    <row r="18" spans="1:23" x14ac:dyDescent="0.25">
      <c r="A18" s="28">
        <v>7</v>
      </c>
      <c r="B18" s="33">
        <v>43862</v>
      </c>
      <c r="C18" s="31">
        <v>4000</v>
      </c>
      <c r="D18" s="31">
        <f t="shared" si="1"/>
        <v>3930.694782632931</v>
      </c>
      <c r="E18" s="31">
        <f t="shared" si="2"/>
        <v>3830.2701401898439</v>
      </c>
      <c r="F18" s="31">
        <f t="shared" si="3"/>
        <v>107247.56392531567</v>
      </c>
      <c r="G18" s="31">
        <f t="shared" si="4"/>
        <v>270.09891118763238</v>
      </c>
      <c r="H18" s="32">
        <f t="shared" si="5"/>
        <v>108309.66338624057</v>
      </c>
      <c r="J18" s="223"/>
      <c r="K18" s="156"/>
      <c r="L18" s="109"/>
      <c r="M18" s="163"/>
      <c r="N18" s="163"/>
      <c r="O18" s="109"/>
      <c r="P18" s="109"/>
      <c r="Q18" s="70"/>
      <c r="S18">
        <v>28</v>
      </c>
      <c r="T18">
        <v>8</v>
      </c>
      <c r="U18" s="72">
        <f t="shared" si="0"/>
        <v>32000</v>
      </c>
      <c r="V18" s="72">
        <f t="shared" si="6"/>
        <v>32000</v>
      </c>
    </row>
    <row r="19" spans="1:23" x14ac:dyDescent="0.25">
      <c r="A19" s="28">
        <v>8</v>
      </c>
      <c r="B19" s="33">
        <v>43891</v>
      </c>
      <c r="C19" s="31">
        <v>4000</v>
      </c>
      <c r="D19" s="31">
        <f t="shared" si="1"/>
        <v>3920.8925512547939</v>
      </c>
      <c r="E19" s="31">
        <f t="shared" si="2"/>
        <v>3830.2701401898439</v>
      </c>
      <c r="F19" s="31">
        <f t="shared" si="3"/>
        <v>103417.29378512583</v>
      </c>
      <c r="G19" s="31">
        <f t="shared" si="4"/>
        <v>260.77415846560143</v>
      </c>
      <c r="H19" s="32">
        <f t="shared" si="5"/>
        <v>104570.43754470618</v>
      </c>
      <c r="J19" s="115" t="s">
        <v>111</v>
      </c>
      <c r="K19" s="116" t="s">
        <v>32</v>
      </c>
      <c r="L19" s="40" t="s">
        <v>0</v>
      </c>
      <c r="M19" s="164">
        <v>3240106</v>
      </c>
      <c r="N19" s="164"/>
      <c r="O19" s="40"/>
      <c r="P19" s="40" t="s">
        <v>271</v>
      </c>
      <c r="Q19" s="70">
        <f>Q21-Q20</f>
        <v>44593.146953425858</v>
      </c>
      <c r="S19">
        <v>27</v>
      </c>
      <c r="T19">
        <v>9</v>
      </c>
      <c r="U19" s="72">
        <f t="shared" si="0"/>
        <v>36000</v>
      </c>
      <c r="V19" s="72">
        <f t="shared" si="6"/>
        <v>36000</v>
      </c>
    </row>
    <row r="20" spans="1:23" x14ac:dyDescent="0.25">
      <c r="A20" s="28">
        <v>9</v>
      </c>
      <c r="B20" s="33">
        <v>43922</v>
      </c>
      <c r="C20" s="31">
        <v>4000</v>
      </c>
      <c r="D20" s="31">
        <f t="shared" si="1"/>
        <v>3911.114764343934</v>
      </c>
      <c r="E20" s="31">
        <f t="shared" si="2"/>
        <v>3830.2701401898439</v>
      </c>
      <c r="F20" s="31">
        <f t="shared" si="3"/>
        <v>99587.023644935995</v>
      </c>
      <c r="G20" s="31">
        <f t="shared" si="4"/>
        <v>251.42609386176545</v>
      </c>
      <c r="H20" s="32">
        <f t="shared" si="5"/>
        <v>100821.86363856794</v>
      </c>
      <c r="J20" s="223"/>
      <c r="K20" s="156"/>
      <c r="L20" s="109" t="s">
        <v>0</v>
      </c>
      <c r="M20" s="163">
        <v>2422020</v>
      </c>
      <c r="N20" s="163"/>
      <c r="O20" s="109"/>
      <c r="P20" s="40" t="s">
        <v>161</v>
      </c>
      <c r="Q20" s="70">
        <f>SUM(G11:G22)</f>
        <v>3406.8530465741446</v>
      </c>
      <c r="S20">
        <v>26</v>
      </c>
      <c r="T20">
        <v>10</v>
      </c>
      <c r="U20" s="72">
        <f t="shared" si="0"/>
        <v>40000</v>
      </c>
      <c r="V20" s="72">
        <f t="shared" si="6"/>
        <v>40000</v>
      </c>
    </row>
    <row r="21" spans="1:23" x14ac:dyDescent="0.25">
      <c r="A21" s="28">
        <v>10</v>
      </c>
      <c r="B21" s="33">
        <v>43952</v>
      </c>
      <c r="C21" s="31">
        <v>4000</v>
      </c>
      <c r="D21" s="31">
        <f>+C21/(1+F$1)^A21</f>
        <v>3901.3613609415806</v>
      </c>
      <c r="E21" s="31">
        <f t="shared" si="2"/>
        <v>3830.2701401898439</v>
      </c>
      <c r="F21" s="31">
        <f t="shared" si="3"/>
        <v>95756.753504746157</v>
      </c>
      <c r="G21" s="31">
        <f t="shared" si="4"/>
        <v>242.05465909641987</v>
      </c>
      <c r="H21" s="32">
        <f t="shared" si="5"/>
        <v>97063.918297664364</v>
      </c>
      <c r="J21" s="223"/>
      <c r="K21" s="156"/>
      <c r="L21" s="109" t="s">
        <v>1</v>
      </c>
      <c r="M21" s="163"/>
      <c r="N21" s="163"/>
      <c r="O21" s="109"/>
      <c r="P21" s="40" t="s">
        <v>31</v>
      </c>
      <c r="Q21" s="70">
        <f>SUM(C11:C22)</f>
        <v>48000</v>
      </c>
      <c r="S21">
        <v>25</v>
      </c>
      <c r="T21">
        <v>11</v>
      </c>
      <c r="U21" s="72">
        <f t="shared" si="0"/>
        <v>44000</v>
      </c>
      <c r="V21" s="72">
        <f t="shared" si="6"/>
        <v>44000</v>
      </c>
    </row>
    <row r="22" spans="1:23" ht="15" customHeight="1" thickBot="1" x14ac:dyDescent="0.3">
      <c r="A22" s="28">
        <v>11</v>
      </c>
      <c r="B22" s="33">
        <v>43983</v>
      </c>
      <c r="C22" s="31">
        <v>4000</v>
      </c>
      <c r="D22" s="31">
        <f>+C22/(1+F$1)^A22</f>
        <v>3891.6322802409791</v>
      </c>
      <c r="E22" s="31">
        <f t="shared" si="2"/>
        <v>3830.2701401898439</v>
      </c>
      <c r="F22" s="235">
        <f t="shared" si="3"/>
        <v>91926.483364556319</v>
      </c>
      <c r="G22" s="219">
        <f t="shared" si="4"/>
        <v>232.6597957441609</v>
      </c>
      <c r="H22" s="236">
        <f t="shared" si="5"/>
        <v>93296.57809340852</v>
      </c>
      <c r="J22" s="223" t="s">
        <v>117</v>
      </c>
      <c r="K22" s="156"/>
      <c r="L22" s="109"/>
      <c r="M22" s="163"/>
      <c r="N22" s="163"/>
      <c r="O22" s="109"/>
      <c r="P22" s="40"/>
      <c r="Q22" s="70"/>
      <c r="S22">
        <v>24</v>
      </c>
      <c r="T22">
        <v>12</v>
      </c>
      <c r="U22" s="72">
        <f t="shared" si="0"/>
        <v>48000</v>
      </c>
      <c r="V22" s="72">
        <f t="shared" si="6"/>
        <v>48000</v>
      </c>
    </row>
    <row r="23" spans="1:23" ht="15" customHeight="1" x14ac:dyDescent="0.25">
      <c r="A23" s="28">
        <v>12</v>
      </c>
      <c r="B23" s="33">
        <v>44013</v>
      </c>
      <c r="C23" s="31">
        <v>4000</v>
      </c>
      <c r="D23" s="31">
        <f t="shared" ref="D23:D45" si="7">+C23/(1+F$1)^A23</f>
        <v>3881.9274615870108</v>
      </c>
      <c r="E23" s="31">
        <f t="shared" si="2"/>
        <v>3830.2701401898439</v>
      </c>
      <c r="F23" s="219">
        <f t="shared" si="3"/>
        <v>88096.213224366482</v>
      </c>
      <c r="G23" s="219">
        <f>+(H22-C23)*F$1</f>
        <v>223.24144523352129</v>
      </c>
      <c r="H23" s="229">
        <f t="shared" si="5"/>
        <v>89519.819538642041</v>
      </c>
      <c r="J23" s="224"/>
      <c r="K23" s="225"/>
      <c r="L23" s="226"/>
      <c r="M23" s="227"/>
      <c r="N23" s="227"/>
      <c r="O23" s="226"/>
      <c r="P23" s="51"/>
      <c r="Q23" s="69"/>
      <c r="V23" s="72"/>
    </row>
    <row r="24" spans="1:23" ht="15" customHeight="1" x14ac:dyDescent="0.25">
      <c r="A24" s="28">
        <v>13</v>
      </c>
      <c r="B24" s="33">
        <v>44044</v>
      </c>
      <c r="C24" s="31">
        <v>4000</v>
      </c>
      <c r="D24" s="31">
        <f t="shared" si="7"/>
        <v>3872.246844475821</v>
      </c>
      <c r="E24" s="31">
        <f t="shared" si="2"/>
        <v>3830.2701401898439</v>
      </c>
      <c r="F24" s="31">
        <f t="shared" si="3"/>
        <v>84265.943084176644</v>
      </c>
      <c r="G24" s="31">
        <f t="shared" si="4"/>
        <v>213.79954884660512</v>
      </c>
      <c r="H24" s="32">
        <f t="shared" si="5"/>
        <v>85733.619087488652</v>
      </c>
      <c r="J24" s="115" t="s">
        <v>112</v>
      </c>
      <c r="K24" s="135">
        <v>44013</v>
      </c>
      <c r="L24" s="40" t="s">
        <v>0</v>
      </c>
      <c r="M24" s="164">
        <v>3240102</v>
      </c>
      <c r="N24" s="164"/>
      <c r="O24" s="40"/>
      <c r="P24" s="40" t="s">
        <v>270</v>
      </c>
      <c r="Q24" s="70">
        <f>+H22</f>
        <v>93296.57809340852</v>
      </c>
      <c r="V24" s="72"/>
    </row>
    <row r="25" spans="1:23" ht="15" customHeight="1" x14ac:dyDescent="0.25">
      <c r="A25" s="28">
        <v>14</v>
      </c>
      <c r="B25" s="33">
        <v>44075</v>
      </c>
      <c r="C25" s="31">
        <v>4000</v>
      </c>
      <c r="D25" s="31">
        <f t="shared" si="7"/>
        <v>3862.5903685544358</v>
      </c>
      <c r="E25" s="31">
        <f t="shared" si="2"/>
        <v>3830.2701401898439</v>
      </c>
      <c r="F25" s="31">
        <f t="shared" si="3"/>
        <v>80435.672943986807</v>
      </c>
      <c r="G25" s="31">
        <f t="shared" si="4"/>
        <v>204.33404771872165</v>
      </c>
      <c r="H25" s="32">
        <f t="shared" si="5"/>
        <v>81937.953135207368</v>
      </c>
      <c r="J25" s="60"/>
      <c r="K25" s="232"/>
      <c r="L25" s="109" t="s">
        <v>1</v>
      </c>
      <c r="M25" s="142">
        <v>5311002</v>
      </c>
      <c r="N25" s="109">
        <v>7324</v>
      </c>
      <c r="O25" s="156"/>
      <c r="P25" s="143" t="s">
        <v>404</v>
      </c>
      <c r="Q25" s="70">
        <f>+F10</f>
        <v>137889.72504683438</v>
      </c>
      <c r="V25" s="72"/>
      <c r="W25" s="72"/>
    </row>
    <row r="26" spans="1:23" ht="15" customHeight="1" x14ac:dyDescent="0.25">
      <c r="A26" s="28">
        <v>15</v>
      </c>
      <c r="B26" s="33">
        <v>44105</v>
      </c>
      <c r="C26" s="31">
        <v>4000</v>
      </c>
      <c r="D26" s="31">
        <f t="shared" si="7"/>
        <v>3852.9579736203855</v>
      </c>
      <c r="E26" s="31">
        <f t="shared" si="2"/>
        <v>3830.2701401898439</v>
      </c>
      <c r="F26" s="31">
        <f t="shared" si="3"/>
        <v>76605.402803796969</v>
      </c>
      <c r="G26" s="31">
        <f t="shared" si="4"/>
        <v>194.84488283801844</v>
      </c>
      <c r="H26" s="32">
        <f t="shared" si="5"/>
        <v>78132.798018045389</v>
      </c>
      <c r="J26" s="60"/>
      <c r="K26" s="232"/>
      <c r="L26" s="40" t="s">
        <v>0</v>
      </c>
      <c r="M26" s="142">
        <v>5311002</v>
      </c>
      <c r="N26" s="109">
        <v>7352</v>
      </c>
      <c r="O26" s="156"/>
      <c r="P26" s="143" t="s">
        <v>405</v>
      </c>
      <c r="Q26" s="70">
        <f>+Q16</f>
        <v>45963.241682278131</v>
      </c>
      <c r="V26" s="72"/>
      <c r="W26" s="72"/>
    </row>
    <row r="27" spans="1:23" ht="15" customHeight="1" x14ac:dyDescent="0.25">
      <c r="A27" s="28">
        <v>16</v>
      </c>
      <c r="B27" s="33">
        <v>44136</v>
      </c>
      <c r="C27" s="31">
        <v>4000</v>
      </c>
      <c r="D27" s="31">
        <f t="shared" si="7"/>
        <v>3843.3495996213314</v>
      </c>
      <c r="E27" s="31">
        <f t="shared" si="2"/>
        <v>3830.2701401898439</v>
      </c>
      <c r="F27" s="31">
        <f t="shared" si="3"/>
        <v>72775.132663607132</v>
      </c>
      <c r="G27" s="31">
        <f t="shared" si="4"/>
        <v>185.33199504511347</v>
      </c>
      <c r="H27" s="32">
        <f t="shared" si="5"/>
        <v>74318.1300130905</v>
      </c>
      <c r="J27" s="133"/>
      <c r="K27" s="61"/>
      <c r="L27" s="40" t="s">
        <v>1</v>
      </c>
      <c r="M27" s="164">
        <v>3390098</v>
      </c>
      <c r="N27" s="142"/>
      <c r="O27" s="40"/>
      <c r="P27" s="40" t="s">
        <v>400</v>
      </c>
      <c r="Q27" s="70">
        <v>48000</v>
      </c>
      <c r="V27" s="72"/>
    </row>
    <row r="28" spans="1:23" ht="15" customHeight="1" x14ac:dyDescent="0.25">
      <c r="A28" s="28">
        <v>17</v>
      </c>
      <c r="B28" s="33">
        <v>44166</v>
      </c>
      <c r="C28" s="31">
        <v>4000</v>
      </c>
      <c r="D28" s="31">
        <f t="shared" si="7"/>
        <v>3833.7651866546953</v>
      </c>
      <c r="E28" s="31">
        <f t="shared" si="2"/>
        <v>3830.2701401898439</v>
      </c>
      <c r="F28" s="31">
        <f t="shared" si="3"/>
        <v>68944.862523417294</v>
      </c>
      <c r="G28" s="31">
        <f t="shared" si="4"/>
        <v>175.79532503272625</v>
      </c>
      <c r="H28" s="32">
        <f t="shared" si="5"/>
        <v>70493.925338123227</v>
      </c>
      <c r="J28" s="60"/>
      <c r="K28" s="232"/>
      <c r="L28" s="40" t="s">
        <v>0</v>
      </c>
      <c r="M28" s="164">
        <v>2230008</v>
      </c>
      <c r="N28" s="164"/>
      <c r="O28" s="40"/>
      <c r="P28" s="228" t="s">
        <v>416</v>
      </c>
      <c r="Q28" s="70">
        <v>46630</v>
      </c>
      <c r="V28" s="72"/>
      <c r="W28" s="72"/>
    </row>
    <row r="29" spans="1:23" ht="15" customHeight="1" x14ac:dyDescent="0.25">
      <c r="A29" s="28">
        <v>18</v>
      </c>
      <c r="B29" s="33">
        <v>44197</v>
      </c>
      <c r="C29" s="31">
        <v>4000</v>
      </c>
      <c r="D29" s="31">
        <f t="shared" si="7"/>
        <v>3824.2046749672768</v>
      </c>
      <c r="E29" s="31">
        <f t="shared" si="2"/>
        <v>3830.2701401898439</v>
      </c>
      <c r="F29" s="31">
        <f t="shared" si="3"/>
        <v>65114.592383227449</v>
      </c>
      <c r="G29" s="31">
        <f t="shared" si="4"/>
        <v>166.23481334530808</v>
      </c>
      <c r="H29" s="32">
        <f t="shared" si="5"/>
        <v>66660.160151468532</v>
      </c>
      <c r="J29" s="115" t="s">
        <v>401</v>
      </c>
      <c r="K29" s="116"/>
      <c r="L29" s="40"/>
      <c r="M29" s="164"/>
      <c r="N29" s="164"/>
      <c r="O29" s="40"/>
      <c r="P29" s="40"/>
      <c r="Q29" s="70"/>
      <c r="V29" s="72"/>
    </row>
    <row r="30" spans="1:23" ht="15" customHeight="1" x14ac:dyDescent="0.25">
      <c r="A30" s="28">
        <v>19</v>
      </c>
      <c r="B30" s="33">
        <v>44228</v>
      </c>
      <c r="C30" s="31">
        <v>4000</v>
      </c>
      <c r="D30" s="31">
        <f t="shared" si="7"/>
        <v>3814.6680049548904</v>
      </c>
      <c r="E30" s="31">
        <f t="shared" si="2"/>
        <v>3830.2701401898439</v>
      </c>
      <c r="F30" s="31">
        <f t="shared" si="3"/>
        <v>61284.322243037604</v>
      </c>
      <c r="G30" s="31">
        <f t="shared" si="4"/>
        <v>156.65040037867132</v>
      </c>
      <c r="H30" s="32">
        <f t="shared" si="5"/>
        <v>62816.8105518472</v>
      </c>
      <c r="J30" s="60"/>
      <c r="K30" s="61"/>
      <c r="L30" s="40"/>
      <c r="M30" s="164"/>
      <c r="N30" s="164"/>
      <c r="O30" s="40"/>
      <c r="P30" s="40"/>
      <c r="Q30" s="70"/>
      <c r="V30" s="72"/>
    </row>
    <row r="31" spans="1:23" x14ac:dyDescent="0.25">
      <c r="A31" s="28">
        <v>20</v>
      </c>
      <c r="B31" s="33">
        <v>44256</v>
      </c>
      <c r="C31" s="31">
        <v>4000</v>
      </c>
      <c r="D31" s="31">
        <f t="shared" si="7"/>
        <v>3805.1551171619849</v>
      </c>
      <c r="E31" s="31">
        <f t="shared" si="2"/>
        <v>3830.2701401898439</v>
      </c>
      <c r="F31" s="31">
        <f t="shared" si="3"/>
        <v>57454.05210284776</v>
      </c>
      <c r="G31" s="31">
        <f t="shared" si="4"/>
        <v>147.04202637961799</v>
      </c>
      <c r="H31" s="32">
        <f t="shared" si="5"/>
        <v>58963.852578226819</v>
      </c>
      <c r="J31" s="115" t="s">
        <v>205</v>
      </c>
      <c r="K31" s="135">
        <v>44013</v>
      </c>
      <c r="L31" s="40" t="s">
        <v>0</v>
      </c>
      <c r="M31" s="164">
        <v>3390098</v>
      </c>
      <c r="N31" s="142"/>
      <c r="O31" s="40"/>
      <c r="P31" s="40" t="s">
        <v>400</v>
      </c>
      <c r="Q31" s="70">
        <v>48000</v>
      </c>
      <c r="S31">
        <v>23</v>
      </c>
      <c r="T31">
        <v>13</v>
      </c>
      <c r="U31" s="72">
        <f t="shared" ref="U31:U47" si="8">+(C$47/36)*T31</f>
        <v>52000</v>
      </c>
      <c r="V31" s="72">
        <f>+C23+V22</f>
        <v>52000</v>
      </c>
    </row>
    <row r="32" spans="1:23" x14ac:dyDescent="0.25">
      <c r="A32" s="28">
        <v>21</v>
      </c>
      <c r="B32" s="33">
        <v>44287</v>
      </c>
      <c r="C32" s="31">
        <v>4000</v>
      </c>
      <c r="D32" s="31">
        <f t="shared" si="7"/>
        <v>3795.6659522812824</v>
      </c>
      <c r="E32" s="31">
        <f t="shared" si="2"/>
        <v>3830.2701401898439</v>
      </c>
      <c r="F32" s="31">
        <f t="shared" si="3"/>
        <v>53623.781962657915</v>
      </c>
      <c r="G32" s="31">
        <f t="shared" si="4"/>
        <v>137.40963144556704</v>
      </c>
      <c r="H32" s="32">
        <f t="shared" si="5"/>
        <v>55101.262209672386</v>
      </c>
      <c r="J32" s="60"/>
      <c r="K32" s="61"/>
      <c r="L32" s="40" t="s">
        <v>1</v>
      </c>
      <c r="M32" s="142">
        <v>5220002</v>
      </c>
      <c r="N32" s="142"/>
      <c r="O32" s="156"/>
      <c r="P32" s="143" t="s">
        <v>403</v>
      </c>
      <c r="Q32" s="70">
        <f>+Q31</f>
        <v>48000</v>
      </c>
      <c r="S32">
        <v>22</v>
      </c>
      <c r="T32">
        <v>14</v>
      </c>
      <c r="U32" s="72">
        <f t="shared" si="8"/>
        <v>56000</v>
      </c>
      <c r="V32" s="72">
        <f t="shared" ref="V32:V47" si="9">+C24+V31</f>
        <v>56000</v>
      </c>
    </row>
    <row r="33" spans="1:23" ht="15.75" thickBot="1" x14ac:dyDescent="0.3">
      <c r="A33" s="28">
        <v>22</v>
      </c>
      <c r="B33" s="33">
        <v>44317</v>
      </c>
      <c r="C33" s="31">
        <v>4000</v>
      </c>
      <c r="D33" s="31">
        <f>+C33/(1+F$1)^A33</f>
        <v>3786.2004511533996</v>
      </c>
      <c r="E33" s="31">
        <f t="shared" si="2"/>
        <v>3830.2701401898439</v>
      </c>
      <c r="F33" s="31">
        <f t="shared" si="3"/>
        <v>49793.51182246807</v>
      </c>
      <c r="G33" s="31">
        <f t="shared" si="4"/>
        <v>127.75315552418097</v>
      </c>
      <c r="H33" s="32">
        <f t="shared" si="5"/>
        <v>51229.015365196567</v>
      </c>
      <c r="J33" s="115" t="s">
        <v>402</v>
      </c>
      <c r="K33" s="61"/>
      <c r="L33" s="40"/>
      <c r="M33" s="164"/>
      <c r="N33" s="142"/>
      <c r="O33" s="40"/>
      <c r="P33" s="40"/>
      <c r="Q33" s="70"/>
      <c r="S33">
        <v>21</v>
      </c>
      <c r="T33">
        <v>15</v>
      </c>
      <c r="U33" s="72">
        <f t="shared" si="8"/>
        <v>60000</v>
      </c>
      <c r="V33" s="72">
        <f t="shared" si="9"/>
        <v>60000</v>
      </c>
    </row>
    <row r="34" spans="1:23" ht="15" customHeight="1" x14ac:dyDescent="0.25">
      <c r="A34" s="28">
        <v>23</v>
      </c>
      <c r="B34" s="33">
        <v>44348</v>
      </c>
      <c r="C34" s="31">
        <v>4000</v>
      </c>
      <c r="D34" s="31">
        <f>+C34/(1+F$1)^A34</f>
        <v>3776.758554766483</v>
      </c>
      <c r="E34" s="31">
        <f t="shared" si="2"/>
        <v>3830.2701401898439</v>
      </c>
      <c r="F34" s="31">
        <f t="shared" si="3"/>
        <v>45963.241682278225</v>
      </c>
      <c r="G34" s="31">
        <f t="shared" si="4"/>
        <v>118.07253841299142</v>
      </c>
      <c r="H34" s="32">
        <f t="shared" si="5"/>
        <v>47347.087903609558</v>
      </c>
      <c r="J34" s="39"/>
      <c r="K34" s="125"/>
      <c r="L34" s="51"/>
      <c r="M34" s="166"/>
      <c r="N34" s="166"/>
      <c r="O34" s="51"/>
      <c r="P34" s="51"/>
      <c r="Q34" s="69"/>
      <c r="S34">
        <v>20</v>
      </c>
      <c r="T34">
        <v>16</v>
      </c>
      <c r="U34" s="72">
        <f t="shared" si="8"/>
        <v>64000</v>
      </c>
      <c r="V34" s="72">
        <f t="shared" si="9"/>
        <v>64000</v>
      </c>
    </row>
    <row r="35" spans="1:23" x14ac:dyDescent="0.25">
      <c r="A35" s="28">
        <v>24</v>
      </c>
      <c r="B35" s="33">
        <v>44378</v>
      </c>
      <c r="C35" s="31">
        <v>4000</v>
      </c>
      <c r="D35" s="31">
        <f t="shared" si="7"/>
        <v>3767.3402042558437</v>
      </c>
      <c r="E35" s="31">
        <f t="shared" si="2"/>
        <v>3830.2701401898439</v>
      </c>
      <c r="F35" s="31">
        <f t="shared" si="3"/>
        <v>42132.97154208838</v>
      </c>
      <c r="G35" s="31">
        <f t="shared" si="4"/>
        <v>108.3677197590239</v>
      </c>
      <c r="H35" s="32">
        <f t="shared" si="5"/>
        <v>43455.45562336858</v>
      </c>
      <c r="J35" s="133"/>
      <c r="K35" s="61"/>
      <c r="L35" s="40"/>
      <c r="M35" s="164"/>
      <c r="N35" s="164"/>
      <c r="O35" s="40"/>
      <c r="P35" s="40"/>
      <c r="Q35" s="70"/>
      <c r="S35">
        <v>19</v>
      </c>
      <c r="T35">
        <v>17</v>
      </c>
      <c r="U35" s="72">
        <f t="shared" si="8"/>
        <v>68000</v>
      </c>
      <c r="V35" s="72">
        <f t="shared" si="9"/>
        <v>68000</v>
      </c>
      <c r="W35" s="72"/>
    </row>
    <row r="36" spans="1:23" x14ac:dyDescent="0.25">
      <c r="A36" s="28">
        <v>25</v>
      </c>
      <c r="B36" s="33">
        <v>44409</v>
      </c>
      <c r="C36" s="31">
        <v>4000</v>
      </c>
      <c r="D36" s="31">
        <f t="shared" si="7"/>
        <v>3757.9453409035846</v>
      </c>
      <c r="E36" s="31">
        <f t="shared" si="2"/>
        <v>3830.2701401898439</v>
      </c>
      <c r="F36" s="31">
        <f t="shared" si="3"/>
        <v>38302.701401898536</v>
      </c>
      <c r="G36" s="31">
        <f t="shared" si="4"/>
        <v>98.638639058421447</v>
      </c>
      <c r="H36" s="32">
        <f t="shared" si="5"/>
        <v>39554.094262427003</v>
      </c>
      <c r="J36" s="60"/>
      <c r="K36" s="61"/>
      <c r="L36" s="40"/>
      <c r="M36" s="164"/>
      <c r="N36" s="164"/>
      <c r="O36" s="40"/>
      <c r="P36" s="40"/>
      <c r="Q36" s="70"/>
      <c r="S36">
        <v>18</v>
      </c>
      <c r="T36">
        <v>18</v>
      </c>
      <c r="U36" s="72">
        <f t="shared" si="8"/>
        <v>72000</v>
      </c>
      <c r="V36" s="72">
        <f t="shared" si="9"/>
        <v>72000</v>
      </c>
    </row>
    <row r="37" spans="1:23" x14ac:dyDescent="0.25">
      <c r="A37" s="28">
        <v>26</v>
      </c>
      <c r="B37" s="33">
        <v>44440</v>
      </c>
      <c r="C37" s="31">
        <v>4000</v>
      </c>
      <c r="D37" s="31">
        <f t="shared" si="7"/>
        <v>3748.5739061382392</v>
      </c>
      <c r="E37" s="31">
        <f t="shared" si="2"/>
        <v>3830.2701401898439</v>
      </c>
      <c r="F37" s="31">
        <f t="shared" si="3"/>
        <v>34472.431261708691</v>
      </c>
      <c r="G37" s="31">
        <f t="shared" si="4"/>
        <v>88.885235656067508</v>
      </c>
      <c r="H37" s="32">
        <f t="shared" si="5"/>
        <v>35642.97949808307</v>
      </c>
      <c r="J37" s="134"/>
      <c r="K37" s="116"/>
      <c r="L37" s="40"/>
      <c r="M37" s="164"/>
      <c r="N37" s="164"/>
      <c r="O37" s="40"/>
      <c r="P37" s="40"/>
      <c r="Q37" s="70"/>
      <c r="S37">
        <v>17</v>
      </c>
      <c r="T37">
        <v>19</v>
      </c>
      <c r="U37" s="72">
        <f t="shared" si="8"/>
        <v>76000</v>
      </c>
      <c r="V37" s="72">
        <f t="shared" si="9"/>
        <v>76000</v>
      </c>
    </row>
    <row r="38" spans="1:23" x14ac:dyDescent="0.25">
      <c r="A38" s="28">
        <v>27</v>
      </c>
      <c r="B38" s="33">
        <v>44470</v>
      </c>
      <c r="C38" s="31">
        <v>4000</v>
      </c>
      <c r="D38" s="31">
        <f t="shared" si="7"/>
        <v>3739.2258415344036</v>
      </c>
      <c r="E38" s="31">
        <f t="shared" si="2"/>
        <v>3830.2701401898439</v>
      </c>
      <c r="F38" s="31">
        <f t="shared" si="3"/>
        <v>30642.161121518846</v>
      </c>
      <c r="G38" s="31">
        <f t="shared" si="4"/>
        <v>79.107448745207677</v>
      </c>
      <c r="H38" s="32">
        <f t="shared" si="5"/>
        <v>31722.086946828276</v>
      </c>
      <c r="J38" s="60"/>
      <c r="K38" s="61"/>
      <c r="L38" s="40"/>
      <c r="M38" s="164"/>
      <c r="N38" s="164"/>
      <c r="O38" s="40"/>
      <c r="P38" s="40"/>
      <c r="Q38" s="70"/>
      <c r="S38">
        <v>16</v>
      </c>
      <c r="T38">
        <v>20</v>
      </c>
      <c r="U38" s="72">
        <f t="shared" si="8"/>
        <v>80000</v>
      </c>
      <c r="V38" s="72">
        <f t="shared" si="9"/>
        <v>80000</v>
      </c>
    </row>
    <row r="39" spans="1:23" x14ac:dyDescent="0.25">
      <c r="A39" s="28">
        <v>28</v>
      </c>
      <c r="B39" s="33">
        <v>44501</v>
      </c>
      <c r="C39" s="31">
        <v>4000</v>
      </c>
      <c r="D39" s="31">
        <f t="shared" si="7"/>
        <v>3729.9010888123726</v>
      </c>
      <c r="E39" s="31">
        <f t="shared" si="2"/>
        <v>3830.2701401898439</v>
      </c>
      <c r="F39" s="31">
        <f t="shared" si="3"/>
        <v>26811.890981329001</v>
      </c>
      <c r="G39" s="31">
        <f t="shared" si="4"/>
        <v>69.305217367070696</v>
      </c>
      <c r="H39" s="32">
        <f t="shared" si="5"/>
        <v>27791.392164195346</v>
      </c>
      <c r="J39" s="60"/>
      <c r="K39" s="61"/>
      <c r="L39" s="40"/>
      <c r="M39" s="164"/>
      <c r="N39" s="164"/>
      <c r="O39" s="40"/>
      <c r="P39" s="40"/>
      <c r="Q39" s="70"/>
      <c r="S39">
        <v>15</v>
      </c>
      <c r="T39">
        <v>21</v>
      </c>
      <c r="U39" s="72">
        <f t="shared" si="8"/>
        <v>84000</v>
      </c>
      <c r="V39" s="72">
        <f t="shared" si="9"/>
        <v>84000</v>
      </c>
    </row>
    <row r="40" spans="1:23" x14ac:dyDescent="0.25">
      <c r="A40" s="28">
        <v>29</v>
      </c>
      <c r="B40" s="33">
        <v>44531</v>
      </c>
      <c r="C40" s="31">
        <v>4000</v>
      </c>
      <c r="D40" s="31">
        <f t="shared" si="7"/>
        <v>3720.5995898377773</v>
      </c>
      <c r="E40" s="31">
        <f t="shared" si="2"/>
        <v>3830.2701401898439</v>
      </c>
      <c r="F40" s="31">
        <f t="shared" si="3"/>
        <v>22981.620841139156</v>
      </c>
      <c r="G40" s="31">
        <f t="shared" si="4"/>
        <v>59.478480410488366</v>
      </c>
      <c r="H40" s="32">
        <f t="shared" si="5"/>
        <v>23850.870644605835</v>
      </c>
      <c r="J40" s="133"/>
      <c r="K40" s="61"/>
      <c r="L40" s="40"/>
      <c r="M40" s="164"/>
      <c r="N40" s="164"/>
      <c r="O40" s="40"/>
      <c r="P40" s="40"/>
      <c r="Q40" s="70"/>
      <c r="S40">
        <v>14</v>
      </c>
      <c r="T40">
        <v>22</v>
      </c>
      <c r="U40" s="72">
        <f t="shared" si="8"/>
        <v>88000</v>
      </c>
      <c r="V40" s="72">
        <f t="shared" si="9"/>
        <v>88000</v>
      </c>
    </row>
    <row r="41" spans="1:23" x14ac:dyDescent="0.25">
      <c r="A41" s="28">
        <v>30</v>
      </c>
      <c r="B41" s="33">
        <v>44562</v>
      </c>
      <c r="C41" s="31">
        <v>4000</v>
      </c>
      <c r="D41" s="31">
        <f t="shared" si="7"/>
        <v>3711.3212866212257</v>
      </c>
      <c r="E41" s="31">
        <f t="shared" si="2"/>
        <v>3830.2701401898439</v>
      </c>
      <c r="F41" s="31">
        <f t="shared" si="3"/>
        <v>19151.350700949311</v>
      </c>
      <c r="G41" s="31">
        <f t="shared" si="4"/>
        <v>49.627176611514585</v>
      </c>
      <c r="H41" s="32">
        <f t="shared" si="5"/>
        <v>19900.497821217348</v>
      </c>
      <c r="J41" s="133"/>
      <c r="K41" s="61"/>
      <c r="L41" s="40"/>
      <c r="M41" s="164"/>
      <c r="N41" s="164"/>
      <c r="O41" s="40"/>
      <c r="P41" s="40"/>
      <c r="Q41" s="70"/>
      <c r="S41">
        <v>13</v>
      </c>
      <c r="T41">
        <v>23</v>
      </c>
      <c r="U41" s="72">
        <f t="shared" si="8"/>
        <v>92000</v>
      </c>
      <c r="V41" s="72">
        <f t="shared" si="9"/>
        <v>92000</v>
      </c>
    </row>
    <row r="42" spans="1:23" x14ac:dyDescent="0.25">
      <c r="A42" s="28">
        <v>31</v>
      </c>
      <c r="B42" s="33">
        <v>44593</v>
      </c>
      <c r="C42" s="31">
        <v>4000</v>
      </c>
      <c r="D42" s="31">
        <f t="shared" si="7"/>
        <v>3702.0661213179314</v>
      </c>
      <c r="E42" s="31">
        <f t="shared" si="2"/>
        <v>3830.2701401898439</v>
      </c>
      <c r="F42" s="31">
        <f t="shared" si="3"/>
        <v>15321.080560759467</v>
      </c>
      <c r="G42" s="31">
        <f t="shared" si="4"/>
        <v>39.751244553043371</v>
      </c>
      <c r="H42" s="32">
        <f t="shared" si="5"/>
        <v>15940.249065770391</v>
      </c>
      <c r="J42" s="133"/>
      <c r="K42" s="61"/>
      <c r="L42" s="40"/>
      <c r="M42" s="164"/>
      <c r="N42" s="164"/>
      <c r="O42" s="40"/>
      <c r="P42" s="40"/>
      <c r="Q42" s="70"/>
      <c r="S42">
        <v>12</v>
      </c>
      <c r="T42">
        <v>24</v>
      </c>
      <c r="U42" s="72">
        <f t="shared" si="8"/>
        <v>96000</v>
      </c>
      <c r="V42" s="72">
        <f t="shared" si="9"/>
        <v>96000</v>
      </c>
    </row>
    <row r="43" spans="1:23" x14ac:dyDescent="0.25">
      <c r="A43" s="28">
        <v>32</v>
      </c>
      <c r="B43" s="33">
        <v>44621</v>
      </c>
      <c r="C43" s="31">
        <v>4000</v>
      </c>
      <c r="D43" s="31">
        <f t="shared" si="7"/>
        <v>3692.834036227362</v>
      </c>
      <c r="E43" s="31">
        <f t="shared" si="2"/>
        <v>3830.2701401898439</v>
      </c>
      <c r="F43" s="31">
        <f t="shared" si="3"/>
        <v>11490.810420569622</v>
      </c>
      <c r="G43" s="31">
        <f t="shared" si="4"/>
        <v>29.850622664425977</v>
      </c>
      <c r="H43" s="32">
        <f t="shared" si="5"/>
        <v>11970.099688434817</v>
      </c>
      <c r="J43" s="133"/>
      <c r="K43" s="61"/>
      <c r="L43" s="40"/>
      <c r="M43" s="164"/>
      <c r="N43" s="164"/>
      <c r="O43" s="40"/>
      <c r="P43" s="40"/>
      <c r="Q43" s="70"/>
      <c r="S43">
        <v>11</v>
      </c>
      <c r="T43">
        <v>25</v>
      </c>
      <c r="U43" s="72">
        <f t="shared" si="8"/>
        <v>100000</v>
      </c>
      <c r="V43" s="72">
        <f t="shared" si="9"/>
        <v>100000</v>
      </c>
    </row>
    <row r="44" spans="1:23" x14ac:dyDescent="0.25">
      <c r="A44" s="28">
        <v>33</v>
      </c>
      <c r="B44" s="33">
        <v>44652</v>
      </c>
      <c r="C44" s="31">
        <v>4000</v>
      </c>
      <c r="D44" s="31">
        <f t="shared" si="7"/>
        <v>3683.6249737928802</v>
      </c>
      <c r="E44" s="31">
        <f t="shared" si="2"/>
        <v>3830.2701401898439</v>
      </c>
      <c r="F44" s="31">
        <f t="shared" si="3"/>
        <v>7660.5402803797779</v>
      </c>
      <c r="G44" s="31">
        <f t="shared" si="4"/>
        <v>19.925249221087043</v>
      </c>
      <c r="H44" s="32">
        <f t="shared" si="5"/>
        <v>7990.0249376559041</v>
      </c>
      <c r="J44" s="133"/>
      <c r="K44" s="61"/>
      <c r="L44" s="40"/>
      <c r="M44" s="164"/>
      <c r="N44" s="164"/>
      <c r="O44" s="40"/>
      <c r="P44" s="40"/>
      <c r="Q44" s="70"/>
      <c r="S44">
        <v>10</v>
      </c>
      <c r="T44">
        <v>26</v>
      </c>
      <c r="U44" s="72">
        <f t="shared" si="8"/>
        <v>104000</v>
      </c>
      <c r="V44" s="72">
        <f t="shared" si="9"/>
        <v>104000</v>
      </c>
    </row>
    <row r="45" spans="1:23" x14ac:dyDescent="0.25">
      <c r="A45" s="28">
        <v>34</v>
      </c>
      <c r="B45" s="33">
        <v>44682</v>
      </c>
      <c r="C45" s="31">
        <v>4000</v>
      </c>
      <c r="D45" s="31">
        <f t="shared" si="7"/>
        <v>3674.4388766013772</v>
      </c>
      <c r="E45" s="31">
        <f t="shared" si="2"/>
        <v>3830.2701401898439</v>
      </c>
      <c r="F45" s="31">
        <f t="shared" si="3"/>
        <v>3830.270140189934</v>
      </c>
      <c r="G45" s="31">
        <f t="shared" si="4"/>
        <v>9.9750623441397597</v>
      </c>
      <c r="H45" s="32">
        <f t="shared" si="5"/>
        <v>4000.0000000000437</v>
      </c>
      <c r="J45" s="133"/>
      <c r="K45" s="61"/>
      <c r="L45" s="40"/>
      <c r="M45" s="164"/>
      <c r="N45" s="164"/>
      <c r="O45" s="40"/>
      <c r="P45" s="40"/>
      <c r="Q45" s="70"/>
      <c r="S45">
        <v>9</v>
      </c>
      <c r="T45">
        <v>27</v>
      </c>
      <c r="U45" s="72">
        <f t="shared" si="8"/>
        <v>108000</v>
      </c>
      <c r="V45" s="72">
        <f t="shared" si="9"/>
        <v>108000</v>
      </c>
    </row>
    <row r="46" spans="1:23" x14ac:dyDescent="0.25">
      <c r="A46" s="28">
        <v>35</v>
      </c>
      <c r="B46" s="33">
        <v>44713</v>
      </c>
      <c r="C46" s="31">
        <v>4000</v>
      </c>
      <c r="D46" s="31">
        <f>+C46/(1+F$1)^A46</f>
        <v>3665.2756873829203</v>
      </c>
      <c r="E46" s="31">
        <f t="shared" si="2"/>
        <v>3830.2701401898439</v>
      </c>
      <c r="F46" s="31">
        <f t="shared" si="3"/>
        <v>9.0039975475519896E-11</v>
      </c>
      <c r="G46" s="31">
        <f>+(H45-C46)*F$1</f>
        <v>1.0913936421275138E-13</v>
      </c>
      <c r="H46" s="32">
        <f t="shared" si="5"/>
        <v>4.3764885049313304E-11</v>
      </c>
      <c r="J46" s="133"/>
      <c r="K46" s="61"/>
      <c r="L46" s="40"/>
      <c r="M46" s="164"/>
      <c r="N46" s="164"/>
      <c r="O46" s="40"/>
      <c r="P46" s="40"/>
      <c r="Q46" s="70"/>
      <c r="S46">
        <v>8</v>
      </c>
      <c r="T46">
        <v>28</v>
      </c>
      <c r="U46" s="72">
        <f t="shared" si="8"/>
        <v>112000</v>
      </c>
      <c r="V46" s="72">
        <f t="shared" si="9"/>
        <v>112000</v>
      </c>
    </row>
    <row r="47" spans="1:23" ht="15.75" thickBot="1" x14ac:dyDescent="0.3">
      <c r="A47" s="35"/>
      <c r="B47" s="36"/>
      <c r="C47" s="37">
        <f>SUM(C10:C46)</f>
        <v>144000</v>
      </c>
      <c r="D47" s="37">
        <f>SUM(D10:D46)</f>
        <v>137889.72504683438</v>
      </c>
      <c r="E47" s="37">
        <f>SUM(E10:E46)</f>
        <v>137889.7250468343</v>
      </c>
      <c r="F47" s="36"/>
      <c r="G47" s="37">
        <f>SUM(G10:G46)</f>
        <v>6110.2749531656764</v>
      </c>
      <c r="H47" s="38"/>
      <c r="I47" s="230"/>
      <c r="J47" s="136"/>
      <c r="K47" s="137"/>
      <c r="L47" s="137"/>
      <c r="M47" s="172"/>
      <c r="N47" s="172"/>
      <c r="O47" s="137"/>
      <c r="P47" s="137"/>
      <c r="Q47" s="173"/>
      <c r="S47">
        <v>7</v>
      </c>
      <c r="T47">
        <v>29</v>
      </c>
      <c r="U47" s="72">
        <f t="shared" si="8"/>
        <v>116000</v>
      </c>
      <c r="V47" s="72">
        <f t="shared" si="9"/>
        <v>116000</v>
      </c>
    </row>
    <row r="48" spans="1:23" ht="6.75" customHeight="1" thickBot="1" x14ac:dyDescent="0.3"/>
    <row r="49" spans="1:21" x14ac:dyDescent="0.25">
      <c r="A49" s="278" t="s">
        <v>278</v>
      </c>
      <c r="B49" s="279"/>
      <c r="C49" s="279"/>
      <c r="D49" s="279"/>
      <c r="E49" s="279"/>
      <c r="F49" s="279"/>
      <c r="G49" s="279"/>
      <c r="H49" s="279"/>
      <c r="I49" s="279"/>
      <c r="J49" s="279"/>
      <c r="K49" s="279"/>
      <c r="L49" s="279"/>
      <c r="M49" s="279"/>
      <c r="N49" s="279"/>
      <c r="O49" s="279"/>
      <c r="P49" s="279"/>
      <c r="Q49" s="280"/>
    </row>
    <row r="50" spans="1:21" x14ac:dyDescent="0.25">
      <c r="A50" s="287" t="s">
        <v>444</v>
      </c>
      <c r="B50" s="288"/>
      <c r="C50" s="288"/>
      <c r="D50" s="288"/>
      <c r="E50" s="288"/>
      <c r="F50" s="288"/>
      <c r="G50" s="288"/>
      <c r="H50" s="288"/>
      <c r="I50" s="288"/>
      <c r="J50" s="288"/>
      <c r="K50" s="288"/>
      <c r="L50" s="288"/>
      <c r="M50" s="288"/>
      <c r="N50" s="288"/>
      <c r="O50" s="288"/>
      <c r="P50" s="288"/>
      <c r="Q50" s="289"/>
    </row>
    <row r="51" spans="1:21" x14ac:dyDescent="0.25">
      <c r="A51" s="287" t="s">
        <v>412</v>
      </c>
      <c r="B51" s="288"/>
      <c r="C51" s="288"/>
      <c r="D51" s="288"/>
      <c r="E51" s="288"/>
      <c r="F51" s="288"/>
      <c r="G51" s="288"/>
      <c r="H51" s="288"/>
      <c r="I51" s="288"/>
      <c r="J51" s="288"/>
      <c r="K51" s="288"/>
      <c r="L51" s="288"/>
      <c r="M51" s="288"/>
      <c r="N51" s="288"/>
      <c r="O51" s="288"/>
      <c r="P51" s="288"/>
      <c r="Q51" s="289"/>
    </row>
    <row r="52" spans="1:21" ht="15.75" thickBot="1" x14ac:dyDescent="0.3">
      <c r="A52" s="291"/>
      <c r="B52" s="292"/>
      <c r="C52" s="292"/>
      <c r="D52" s="292"/>
      <c r="E52" s="292"/>
      <c r="F52" s="292"/>
      <c r="G52" s="292"/>
      <c r="H52" s="292"/>
      <c r="I52" s="292"/>
      <c r="J52" s="292"/>
      <c r="K52" s="292"/>
      <c r="L52" s="292"/>
      <c r="M52" s="292"/>
      <c r="N52" s="292"/>
      <c r="O52" s="292"/>
      <c r="P52" s="292"/>
      <c r="Q52" s="293"/>
    </row>
    <row r="53" spans="1:21" ht="15.75" thickBot="1" x14ac:dyDescent="0.3">
      <c r="A53" s="290"/>
      <c r="B53" s="290"/>
      <c r="C53" s="290"/>
      <c r="D53" s="290"/>
      <c r="E53" s="290"/>
      <c r="F53" s="290"/>
      <c r="G53" s="290"/>
      <c r="H53" s="290"/>
      <c r="I53" s="290"/>
      <c r="J53" s="290"/>
      <c r="K53" s="290"/>
      <c r="L53" s="290"/>
      <c r="M53" s="290"/>
      <c r="N53" s="290"/>
      <c r="O53" s="290"/>
      <c r="P53" s="290"/>
      <c r="Q53" s="290"/>
    </row>
    <row r="54" spans="1:21" s="107" customFormat="1" x14ac:dyDescent="0.25">
      <c r="A54" s="278" t="s">
        <v>223</v>
      </c>
      <c r="B54" s="279"/>
      <c r="C54" s="279"/>
      <c r="D54" s="279"/>
      <c r="E54" s="279"/>
      <c r="F54" s="279"/>
      <c r="G54" s="279"/>
      <c r="H54" s="279"/>
      <c r="I54" s="279"/>
      <c r="J54" s="279"/>
      <c r="K54" s="279"/>
      <c r="L54" s="279"/>
      <c r="M54" s="279"/>
      <c r="N54" s="279"/>
      <c r="O54" s="279"/>
      <c r="P54" s="279"/>
      <c r="Q54" s="280"/>
      <c r="U54" s="149"/>
    </row>
    <row r="55" spans="1:21" s="107" customFormat="1" x14ac:dyDescent="0.25">
      <c r="A55" s="308" t="s">
        <v>241</v>
      </c>
      <c r="B55" s="309"/>
      <c r="C55" s="309"/>
      <c r="D55" s="309"/>
      <c r="E55" s="309"/>
      <c r="F55" s="309"/>
      <c r="G55" s="309"/>
      <c r="H55" s="309"/>
      <c r="I55" s="309"/>
      <c r="J55" s="309"/>
      <c r="K55" s="309"/>
      <c r="L55" s="309"/>
      <c r="M55" s="309"/>
      <c r="N55" s="309"/>
      <c r="O55" s="309"/>
      <c r="P55" s="309"/>
      <c r="Q55" s="310"/>
      <c r="U55" s="149"/>
    </row>
    <row r="56" spans="1:21" s="107" customFormat="1" x14ac:dyDescent="0.25">
      <c r="A56" s="311"/>
      <c r="B56" s="312"/>
      <c r="C56" s="312"/>
      <c r="D56" s="312"/>
      <c r="E56" s="312"/>
      <c r="F56" s="312"/>
      <c r="G56" s="312"/>
      <c r="H56" s="312"/>
      <c r="I56" s="312"/>
      <c r="J56" s="312"/>
      <c r="K56" s="312"/>
      <c r="L56" s="312"/>
      <c r="M56" s="312"/>
      <c r="N56" s="312"/>
      <c r="O56" s="312"/>
      <c r="P56" s="312"/>
      <c r="Q56" s="313"/>
      <c r="U56" s="149"/>
    </row>
    <row r="57" spans="1:21" x14ac:dyDescent="0.25">
      <c r="A57" s="299" t="s">
        <v>407</v>
      </c>
      <c r="B57" s="300"/>
      <c r="C57" s="300"/>
      <c r="D57" s="300"/>
      <c r="E57" s="300"/>
      <c r="F57" s="300"/>
      <c r="G57" s="300"/>
      <c r="H57" s="300"/>
      <c r="I57" s="300"/>
      <c r="J57" s="300"/>
      <c r="K57" s="300"/>
      <c r="L57" s="300"/>
      <c r="M57" s="300"/>
      <c r="N57" s="300"/>
      <c r="O57" s="300"/>
      <c r="P57" s="300"/>
      <c r="Q57" s="301"/>
    </row>
    <row r="58" spans="1:21" ht="48.75" customHeight="1" x14ac:dyDescent="0.25">
      <c r="A58" s="294" t="s">
        <v>408</v>
      </c>
      <c r="B58" s="295"/>
      <c r="C58" s="295"/>
      <c r="D58" s="295"/>
      <c r="E58" s="295"/>
      <c r="F58" s="295"/>
      <c r="G58" s="295"/>
      <c r="H58" s="295"/>
      <c r="I58" s="295"/>
      <c r="J58" s="295"/>
      <c r="K58" s="295"/>
      <c r="L58" s="295"/>
      <c r="M58" s="295"/>
      <c r="N58" s="295"/>
      <c r="O58" s="295"/>
      <c r="P58" s="295"/>
      <c r="Q58" s="296"/>
    </row>
    <row r="59" spans="1:21" ht="15.75" customHeight="1" thickBot="1" x14ac:dyDescent="0.3">
      <c r="A59" s="314"/>
      <c r="B59" s="315"/>
      <c r="C59" s="315"/>
      <c r="D59" s="315"/>
      <c r="E59" s="315"/>
      <c r="F59" s="315"/>
      <c r="G59" s="315"/>
      <c r="H59" s="315"/>
      <c r="I59" s="315"/>
      <c r="J59" s="315"/>
      <c r="K59" s="315"/>
      <c r="L59" s="315"/>
      <c r="M59" s="315"/>
      <c r="N59" s="315"/>
      <c r="O59" s="315"/>
      <c r="P59" s="315"/>
      <c r="Q59" s="316"/>
    </row>
  </sheetData>
  <mergeCells count="17">
    <mergeCell ref="A3:Q3"/>
    <mergeCell ref="A4:Q4"/>
    <mergeCell ref="A6:Q6"/>
    <mergeCell ref="A8:H8"/>
    <mergeCell ref="J8:Q8"/>
    <mergeCell ref="A57:Q57"/>
    <mergeCell ref="A58:Q58"/>
    <mergeCell ref="A59:Q59"/>
    <mergeCell ref="A5:Q5"/>
    <mergeCell ref="A50:Q50"/>
    <mergeCell ref="A52:Q52"/>
    <mergeCell ref="A53:Q53"/>
    <mergeCell ref="A54:Q54"/>
    <mergeCell ref="A55:Q55"/>
    <mergeCell ref="A56:Q56"/>
    <mergeCell ref="A49:Q49"/>
    <mergeCell ref="A51:Q51"/>
  </mergeCells>
  <pageMargins left="0.70866141732283472" right="0.70866141732283472" top="0.74803149606299213" bottom="0.74803149606299213" header="0.31496062992125984" footer="0.31496062992125984"/>
  <pageSetup paperSize="8" scale="97" orientation="landscape" cellComments="asDisplayed" r:id="rId1"/>
  <rowBreaks count="1" manualBreakCount="1">
    <brk id="47" max="16" man="1"/>
  </rowBreaks>
  <colBreaks count="1" manualBreakCount="1">
    <brk id="17"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AE73"/>
  <sheetViews>
    <sheetView view="pageBreakPreview" topLeftCell="A52" zoomScaleNormal="100" zoomScaleSheetLayoutView="100" workbookViewId="0">
      <selection activeCell="A57" sqref="A57:V57"/>
    </sheetView>
  </sheetViews>
  <sheetFormatPr defaultRowHeight="15" outlineLevelRow="1" x14ac:dyDescent="0.25"/>
  <cols>
    <col min="1" max="1" width="3.85546875" customWidth="1"/>
    <col min="2" max="2" width="7.28515625" customWidth="1"/>
    <col min="3" max="3" width="8.5703125" customWidth="1"/>
    <col min="4" max="4" width="10.140625" customWidth="1"/>
    <col min="5" max="5" width="9.140625" customWidth="1"/>
    <col min="6" max="6" width="9.28515625" customWidth="1"/>
    <col min="7" max="7" width="8.140625" customWidth="1"/>
    <col min="8" max="8" width="8.28515625" customWidth="1"/>
    <col min="9" max="9" width="13.140625" customWidth="1"/>
    <col min="10" max="10" width="12.140625" customWidth="1"/>
    <col min="11" max="11" width="12.7109375" customWidth="1"/>
    <col min="12" max="12" width="11.7109375" customWidth="1"/>
    <col min="13" max="13" width="10.28515625" customWidth="1"/>
    <col min="14" max="14" width="2" style="29" customWidth="1"/>
    <col min="15" max="15" width="3.7109375" style="1" customWidth="1"/>
    <col min="16" max="16" width="9.7109375" style="1" bestFit="1" customWidth="1"/>
    <col min="17" max="17" width="3.5703125" customWidth="1"/>
    <col min="18" max="18" width="11.5703125" customWidth="1"/>
    <col min="19" max="19" width="10.7109375" customWidth="1"/>
    <col min="20" max="20" width="4.7109375" customWidth="1"/>
    <col min="21" max="21" width="44.7109375" customWidth="1"/>
    <col min="22" max="22" width="9.140625" style="72"/>
    <col min="23" max="23" width="9.42578125" customWidth="1"/>
    <col min="24" max="25" width="9.42578125" hidden="1" customWidth="1"/>
    <col min="26" max="26" width="9.42578125" style="72" hidden="1" customWidth="1"/>
    <col min="27" max="28" width="9.42578125" hidden="1" customWidth="1"/>
    <col min="29" max="31" width="0" hidden="1" customWidth="1"/>
  </cols>
  <sheetData>
    <row r="1" spans="1:28" x14ac:dyDescent="0.25">
      <c r="A1" s="1" t="s">
        <v>129</v>
      </c>
      <c r="C1" s="1"/>
      <c r="F1" s="22">
        <v>2.5000000000000001E-3</v>
      </c>
      <c r="U1" s="1" t="s">
        <v>233</v>
      </c>
    </row>
    <row r="2" spans="1:28" ht="9" customHeight="1" thickBot="1" x14ac:dyDescent="0.3"/>
    <row r="3" spans="1:28" s="106" customFormat="1" ht="15.75" outlineLevel="1" x14ac:dyDescent="0.25">
      <c r="A3" s="275" t="s">
        <v>183</v>
      </c>
      <c r="B3" s="276"/>
      <c r="C3" s="276"/>
      <c r="D3" s="276"/>
      <c r="E3" s="276"/>
      <c r="F3" s="276"/>
      <c r="G3" s="276"/>
      <c r="H3" s="276"/>
      <c r="I3" s="276"/>
      <c r="J3" s="276"/>
      <c r="K3" s="276"/>
      <c r="L3" s="276"/>
      <c r="M3" s="276"/>
      <c r="N3" s="276"/>
      <c r="O3" s="276"/>
      <c r="P3" s="276"/>
      <c r="Q3" s="276"/>
      <c r="R3" s="276"/>
      <c r="S3" s="276"/>
      <c r="T3" s="276"/>
      <c r="U3" s="276"/>
      <c r="V3" s="277"/>
      <c r="Z3" s="147"/>
    </row>
    <row r="4" spans="1:28" s="106" customFormat="1" outlineLevel="1" x14ac:dyDescent="0.25">
      <c r="A4" s="281" t="s">
        <v>276</v>
      </c>
      <c r="B4" s="282"/>
      <c r="C4" s="282"/>
      <c r="D4" s="282"/>
      <c r="E4" s="282"/>
      <c r="F4" s="282"/>
      <c r="G4" s="282"/>
      <c r="H4" s="282"/>
      <c r="I4" s="282"/>
      <c r="J4" s="282"/>
      <c r="K4" s="282"/>
      <c r="L4" s="282"/>
      <c r="M4" s="282"/>
      <c r="N4" s="282"/>
      <c r="O4" s="282"/>
      <c r="P4" s="282"/>
      <c r="Q4" s="282"/>
      <c r="R4" s="282"/>
      <c r="S4" s="282"/>
      <c r="T4" s="282"/>
      <c r="U4" s="282"/>
      <c r="V4" s="283"/>
      <c r="Z4" s="147"/>
    </row>
    <row r="5" spans="1:28" s="106" customFormat="1" outlineLevel="1" x14ac:dyDescent="0.25">
      <c r="A5" s="281" t="s">
        <v>279</v>
      </c>
      <c r="B5" s="282"/>
      <c r="C5" s="282"/>
      <c r="D5" s="282"/>
      <c r="E5" s="282"/>
      <c r="F5" s="282"/>
      <c r="G5" s="282"/>
      <c r="H5" s="282"/>
      <c r="I5" s="282"/>
      <c r="J5" s="282"/>
      <c r="K5" s="282"/>
      <c r="L5" s="282"/>
      <c r="M5" s="282"/>
      <c r="N5" s="282"/>
      <c r="O5" s="282"/>
      <c r="P5" s="282"/>
      <c r="Q5" s="282"/>
      <c r="R5" s="282"/>
      <c r="S5" s="282"/>
      <c r="T5" s="282"/>
      <c r="U5" s="282"/>
      <c r="V5" s="283"/>
      <c r="Z5" s="147"/>
    </row>
    <row r="6" spans="1:28" s="106" customFormat="1" ht="47.25" customHeight="1" outlineLevel="1" x14ac:dyDescent="0.25">
      <c r="A6" s="281" t="s">
        <v>320</v>
      </c>
      <c r="B6" s="282"/>
      <c r="C6" s="282"/>
      <c r="D6" s="282"/>
      <c r="E6" s="282"/>
      <c r="F6" s="282"/>
      <c r="G6" s="282"/>
      <c r="H6" s="282"/>
      <c r="I6" s="282"/>
      <c r="J6" s="282"/>
      <c r="K6" s="282"/>
      <c r="L6" s="282"/>
      <c r="M6" s="282"/>
      <c r="N6" s="282"/>
      <c r="O6" s="282"/>
      <c r="P6" s="282"/>
      <c r="Q6" s="282"/>
      <c r="R6" s="282"/>
      <c r="S6" s="282"/>
      <c r="T6" s="282"/>
      <c r="U6" s="282"/>
      <c r="V6" s="283"/>
      <c r="Z6" s="147"/>
    </row>
    <row r="7" spans="1:28" s="106" customFormat="1" ht="18" customHeight="1" outlineLevel="1" x14ac:dyDescent="0.25">
      <c r="A7" s="281" t="s">
        <v>277</v>
      </c>
      <c r="B7" s="282"/>
      <c r="C7" s="282"/>
      <c r="D7" s="282"/>
      <c r="E7" s="282"/>
      <c r="F7" s="282"/>
      <c r="G7" s="282"/>
      <c r="H7" s="282"/>
      <c r="I7" s="282"/>
      <c r="J7" s="282"/>
      <c r="K7" s="282"/>
      <c r="L7" s="282"/>
      <c r="M7" s="282"/>
      <c r="N7" s="282"/>
      <c r="O7" s="282"/>
      <c r="P7" s="282"/>
      <c r="Q7" s="282"/>
      <c r="R7" s="282"/>
      <c r="S7" s="282"/>
      <c r="T7" s="282"/>
      <c r="U7" s="282"/>
      <c r="V7" s="283"/>
      <c r="Z7" s="147"/>
    </row>
    <row r="8" spans="1:28" s="106" customFormat="1" outlineLevel="1" x14ac:dyDescent="0.25">
      <c r="A8" s="281" t="s">
        <v>338</v>
      </c>
      <c r="B8" s="282"/>
      <c r="C8" s="282"/>
      <c r="D8" s="282"/>
      <c r="E8" s="282"/>
      <c r="F8" s="282"/>
      <c r="G8" s="282"/>
      <c r="H8" s="282"/>
      <c r="I8" s="282"/>
      <c r="J8" s="282"/>
      <c r="K8" s="282"/>
      <c r="L8" s="282"/>
      <c r="M8" s="282"/>
      <c r="N8" s="282"/>
      <c r="O8" s="282"/>
      <c r="P8" s="282"/>
      <c r="Q8" s="282"/>
      <c r="R8" s="282"/>
      <c r="S8" s="282"/>
      <c r="T8" s="282"/>
      <c r="U8" s="282"/>
      <c r="V8" s="283"/>
      <c r="Z8" s="147"/>
    </row>
    <row r="9" spans="1:28" s="106" customFormat="1" ht="15.75" outlineLevel="1" thickBot="1" x14ac:dyDescent="0.3">
      <c r="A9" s="305" t="s">
        <v>272</v>
      </c>
      <c r="B9" s="306"/>
      <c r="C9" s="306"/>
      <c r="D9" s="306"/>
      <c r="E9" s="306"/>
      <c r="F9" s="306"/>
      <c r="G9" s="306"/>
      <c r="H9" s="306"/>
      <c r="I9" s="306"/>
      <c r="J9" s="306"/>
      <c r="K9" s="306"/>
      <c r="L9" s="306"/>
      <c r="M9" s="306"/>
      <c r="N9" s="306"/>
      <c r="O9" s="306"/>
      <c r="P9" s="306"/>
      <c r="Q9" s="306"/>
      <c r="R9" s="306"/>
      <c r="S9" s="306"/>
      <c r="T9" s="306"/>
      <c r="U9" s="306"/>
      <c r="V9" s="307"/>
      <c r="Z9" s="147"/>
    </row>
    <row r="10" spans="1:28" ht="13.5" customHeight="1" thickBot="1" x14ac:dyDescent="0.3"/>
    <row r="11" spans="1:28" ht="15.75" thickBot="1" x14ac:dyDescent="0.3">
      <c r="A11" s="284" t="s">
        <v>184</v>
      </c>
      <c r="B11" s="285"/>
      <c r="C11" s="285"/>
      <c r="D11" s="285"/>
      <c r="E11" s="285"/>
      <c r="F11" s="285"/>
      <c r="G11" s="285"/>
      <c r="H11" s="285"/>
      <c r="I11" s="285"/>
      <c r="J11" s="285"/>
      <c r="K11" s="285"/>
      <c r="L11" s="285"/>
      <c r="M11" s="286"/>
      <c r="O11" s="302" t="s">
        <v>337</v>
      </c>
      <c r="P11" s="303"/>
      <c r="Q11" s="303"/>
      <c r="R11" s="303"/>
      <c r="S11" s="303"/>
      <c r="T11" s="303"/>
      <c r="U11" s="303"/>
      <c r="V11" s="304"/>
    </row>
    <row r="12" spans="1:28" s="1" customFormat="1" ht="95.25" customHeight="1" thickBot="1" x14ac:dyDescent="0.3">
      <c r="A12" s="150" t="s">
        <v>99</v>
      </c>
      <c r="B12" s="151" t="s">
        <v>98</v>
      </c>
      <c r="C12" s="152" t="s">
        <v>92</v>
      </c>
      <c r="D12" s="152" t="s">
        <v>93</v>
      </c>
      <c r="E12" s="152" t="s">
        <v>97</v>
      </c>
      <c r="F12" s="152" t="s">
        <v>96</v>
      </c>
      <c r="G12" s="152" t="s">
        <v>95</v>
      </c>
      <c r="H12" s="152" t="s">
        <v>104</v>
      </c>
      <c r="I12" s="152" t="s">
        <v>273</v>
      </c>
      <c r="J12" s="152" t="s">
        <v>274</v>
      </c>
      <c r="K12" s="152" t="s">
        <v>142</v>
      </c>
      <c r="L12" s="152" t="s">
        <v>247</v>
      </c>
      <c r="M12" s="153" t="s">
        <v>275</v>
      </c>
      <c r="N12" s="71"/>
      <c r="O12" s="78"/>
      <c r="P12" s="79" t="s">
        <v>172</v>
      </c>
      <c r="Q12" s="79"/>
      <c r="R12" s="79" t="s">
        <v>168</v>
      </c>
      <c r="S12" s="79" t="s">
        <v>169</v>
      </c>
      <c r="T12" s="79" t="s">
        <v>152</v>
      </c>
      <c r="U12" s="79" t="s">
        <v>170</v>
      </c>
      <c r="V12" s="80" t="s">
        <v>171</v>
      </c>
      <c r="Z12" s="148"/>
    </row>
    <row r="13" spans="1:28" s="1" customFormat="1" ht="17.25" customHeight="1" outlineLevel="1" x14ac:dyDescent="0.25">
      <c r="A13" s="84"/>
      <c r="B13" s="71"/>
      <c r="C13" s="74"/>
      <c r="D13" s="74"/>
      <c r="E13" s="74"/>
      <c r="F13" s="74"/>
      <c r="G13" s="74"/>
      <c r="H13" s="74"/>
      <c r="I13" s="74"/>
      <c r="J13" s="31"/>
      <c r="K13" s="74"/>
      <c r="L13" s="74"/>
      <c r="M13" s="144"/>
      <c r="N13" s="71"/>
      <c r="O13" s="60"/>
      <c r="P13" s="145"/>
      <c r="Q13" s="145"/>
      <c r="R13" s="145"/>
      <c r="S13" s="145"/>
      <c r="T13" s="145"/>
      <c r="U13" s="145"/>
      <c r="V13" s="146"/>
      <c r="Z13" s="148"/>
    </row>
    <row r="14" spans="1:28" outlineLevel="1" x14ac:dyDescent="0.25">
      <c r="A14" s="177"/>
      <c r="B14" s="178"/>
      <c r="C14" s="179"/>
      <c r="D14" s="179"/>
      <c r="E14" s="179"/>
      <c r="F14" s="179"/>
      <c r="G14" s="179"/>
      <c r="H14" s="179"/>
      <c r="I14" s="179"/>
      <c r="J14" s="180">
        <v>10000</v>
      </c>
      <c r="K14" s="179"/>
      <c r="L14" s="179"/>
      <c r="M14" s="181"/>
      <c r="O14" s="115" t="s">
        <v>109</v>
      </c>
      <c r="P14" s="135">
        <v>43647</v>
      </c>
      <c r="Q14" s="109" t="s">
        <v>0</v>
      </c>
      <c r="R14" s="109">
        <v>5311002</v>
      </c>
      <c r="S14" s="109">
        <v>7332</v>
      </c>
      <c r="T14" s="109"/>
      <c r="U14" s="109" t="s">
        <v>146</v>
      </c>
      <c r="V14" s="110">
        <f>V15</f>
        <v>101578.45279487038</v>
      </c>
      <c r="X14">
        <v>36</v>
      </c>
      <c r="Z14" s="72">
        <v>0</v>
      </c>
    </row>
    <row r="15" spans="1:28" outlineLevel="1" x14ac:dyDescent="0.25">
      <c r="A15" s="177"/>
      <c r="B15" s="178">
        <v>43282</v>
      </c>
      <c r="C15" s="179">
        <v>0</v>
      </c>
      <c r="D15" s="179"/>
      <c r="E15" s="179"/>
      <c r="F15" s="179"/>
      <c r="G15" s="179"/>
      <c r="H15" s="179"/>
      <c r="I15" s="179">
        <f>+C21</f>
        <v>4166.666666666667</v>
      </c>
      <c r="J15" s="179">
        <f>+J$14/36*X15</f>
        <v>9722.2222222222226</v>
      </c>
      <c r="K15" s="179">
        <f>+Z15-AA15</f>
        <v>126.25</v>
      </c>
      <c r="L15" s="179"/>
      <c r="M15" s="181"/>
      <c r="O15" s="60"/>
      <c r="P15" s="61"/>
      <c r="Q15" s="40" t="s">
        <v>1</v>
      </c>
      <c r="R15" s="40">
        <v>3240102</v>
      </c>
      <c r="S15" s="40"/>
      <c r="T15" s="40"/>
      <c r="U15" s="40" t="s">
        <v>270</v>
      </c>
      <c r="V15" s="70">
        <f>H26</f>
        <v>101578.45279487038</v>
      </c>
      <c r="X15">
        <v>35</v>
      </c>
      <c r="Y15">
        <v>1</v>
      </c>
      <c r="Z15" s="72">
        <v>4292.916666666667</v>
      </c>
      <c r="AA15" s="72">
        <v>4166.666666666667</v>
      </c>
    </row>
    <row r="16" spans="1:28" outlineLevel="1" x14ac:dyDescent="0.25">
      <c r="A16" s="177"/>
      <c r="B16" s="178">
        <v>43313</v>
      </c>
      <c r="C16" s="179">
        <v>0</v>
      </c>
      <c r="D16" s="179"/>
      <c r="E16" s="179"/>
      <c r="F16" s="179"/>
      <c r="G16" s="179"/>
      <c r="H16" s="179"/>
      <c r="I16" s="179">
        <f>+I15+C21</f>
        <v>8333.3333333333339</v>
      </c>
      <c r="J16" s="179">
        <f t="shared" ref="J16:J25" si="0">+J$14/36*X16</f>
        <v>9444.4444444444434</v>
      </c>
      <c r="K16" s="179">
        <f t="shared" ref="K16:K25" si="1">+Z16-AA16</f>
        <v>252.5</v>
      </c>
      <c r="L16" s="179"/>
      <c r="M16" s="181"/>
      <c r="O16" s="133" t="s">
        <v>192</v>
      </c>
      <c r="P16" s="61"/>
      <c r="Q16" s="40"/>
      <c r="R16" s="40"/>
      <c r="S16" s="40"/>
      <c r="T16" s="40"/>
      <c r="U16" s="40"/>
      <c r="V16" s="70"/>
      <c r="X16">
        <v>34</v>
      </c>
      <c r="Y16">
        <v>2</v>
      </c>
      <c r="Z16" s="72">
        <v>8585.8333333333339</v>
      </c>
      <c r="AA16" s="72">
        <v>8333.3333333333339</v>
      </c>
      <c r="AB16" s="72"/>
    </row>
    <row r="17" spans="1:31" outlineLevel="1" x14ac:dyDescent="0.25">
      <c r="A17" s="177"/>
      <c r="B17" s="178">
        <v>43344</v>
      </c>
      <c r="C17" s="179">
        <v>0</v>
      </c>
      <c r="D17" s="179"/>
      <c r="E17" s="179"/>
      <c r="F17" s="179"/>
      <c r="G17" s="179"/>
      <c r="H17" s="179"/>
      <c r="I17" s="179">
        <f>+I16+C21</f>
        <v>12500</v>
      </c>
      <c r="J17" s="179">
        <f t="shared" si="0"/>
        <v>9166.6666666666661</v>
      </c>
      <c r="K17" s="179">
        <f t="shared" si="1"/>
        <v>378.75</v>
      </c>
      <c r="L17" s="179"/>
      <c r="M17" s="181"/>
      <c r="O17" s="60"/>
      <c r="P17" s="132"/>
      <c r="Q17" s="132"/>
      <c r="R17" s="117"/>
      <c r="S17" s="117"/>
      <c r="T17" s="117"/>
      <c r="U17" s="117"/>
      <c r="V17" s="118"/>
      <c r="X17">
        <v>33</v>
      </c>
      <c r="Y17">
        <v>3</v>
      </c>
      <c r="Z17" s="72">
        <v>12878.75</v>
      </c>
      <c r="AA17" s="72">
        <v>12500</v>
      </c>
    </row>
    <row r="18" spans="1:31" outlineLevel="1" x14ac:dyDescent="0.25">
      <c r="A18" s="177"/>
      <c r="B18" s="178">
        <v>43374</v>
      </c>
      <c r="C18" s="179">
        <v>0</v>
      </c>
      <c r="D18" s="179"/>
      <c r="E18" s="179"/>
      <c r="F18" s="179"/>
      <c r="G18" s="179"/>
      <c r="H18" s="179"/>
      <c r="I18" s="179">
        <f>+I17+C21</f>
        <v>16666.666666666668</v>
      </c>
      <c r="J18" s="179">
        <f t="shared" si="0"/>
        <v>8888.8888888888887</v>
      </c>
      <c r="K18" s="179">
        <f t="shared" si="1"/>
        <v>505</v>
      </c>
      <c r="L18" s="179"/>
      <c r="M18" s="181"/>
      <c r="O18" s="115" t="s">
        <v>110</v>
      </c>
      <c r="P18" s="135">
        <v>43647</v>
      </c>
      <c r="Q18" s="40" t="s">
        <v>0</v>
      </c>
      <c r="R18" s="40">
        <v>3395098</v>
      </c>
      <c r="S18" s="40"/>
      <c r="T18" s="40"/>
      <c r="U18" s="40" t="s">
        <v>243</v>
      </c>
      <c r="V18" s="70">
        <f>+K26</f>
        <v>1515.0000000000073</v>
      </c>
      <c r="X18">
        <v>32</v>
      </c>
      <c r="Y18">
        <v>4</v>
      </c>
      <c r="Z18" s="72">
        <v>17171.666666666668</v>
      </c>
      <c r="AA18" s="72">
        <v>16666.666666666668</v>
      </c>
    </row>
    <row r="19" spans="1:31" outlineLevel="1" x14ac:dyDescent="0.25">
      <c r="A19" s="177"/>
      <c r="B19" s="178">
        <v>43405</v>
      </c>
      <c r="C19" s="179">
        <v>0</v>
      </c>
      <c r="D19" s="179"/>
      <c r="E19" s="179"/>
      <c r="F19" s="179"/>
      <c r="G19" s="179"/>
      <c r="H19" s="179"/>
      <c r="I19" s="179">
        <f>+I18+C21</f>
        <v>20833.333333333336</v>
      </c>
      <c r="J19" s="179">
        <f t="shared" si="0"/>
        <v>8611.1111111111113</v>
      </c>
      <c r="K19" s="179">
        <f t="shared" si="1"/>
        <v>631.25</v>
      </c>
      <c r="L19" s="179"/>
      <c r="M19" s="181"/>
      <c r="O19" s="115"/>
      <c r="P19" s="61"/>
      <c r="Q19" s="40" t="s">
        <v>1</v>
      </c>
      <c r="R19" s="142">
        <v>4100001</v>
      </c>
      <c r="S19" s="142">
        <v>7225</v>
      </c>
      <c r="T19" s="142"/>
      <c r="U19" s="143" t="s">
        <v>269</v>
      </c>
      <c r="V19" s="70">
        <f>V18</f>
        <v>1515.0000000000073</v>
      </c>
      <c r="X19">
        <v>31</v>
      </c>
      <c r="Y19">
        <v>5</v>
      </c>
      <c r="Z19" s="72">
        <v>21464.583333333336</v>
      </c>
      <c r="AA19" s="72">
        <v>20833.333333333336</v>
      </c>
    </row>
    <row r="20" spans="1:31" outlineLevel="1" x14ac:dyDescent="0.25">
      <c r="A20" s="177"/>
      <c r="B20" s="178">
        <v>43435</v>
      </c>
      <c r="C20" s="179">
        <v>0</v>
      </c>
      <c r="D20" s="179"/>
      <c r="E20" s="179"/>
      <c r="F20" s="179"/>
      <c r="G20" s="179"/>
      <c r="H20" s="179"/>
      <c r="I20" s="180">
        <f>+I19+C21</f>
        <v>25000.000000000004</v>
      </c>
      <c r="J20" s="179">
        <f t="shared" si="0"/>
        <v>8333.3333333333339</v>
      </c>
      <c r="K20" s="179">
        <f t="shared" si="1"/>
        <v>757.49999999999636</v>
      </c>
      <c r="L20" s="179"/>
      <c r="M20" s="181"/>
      <c r="O20" s="115" t="s">
        <v>332</v>
      </c>
      <c r="P20" s="61"/>
      <c r="Q20" s="40"/>
      <c r="R20" s="142"/>
      <c r="S20" s="142"/>
      <c r="T20" s="142"/>
      <c r="U20" s="142"/>
      <c r="V20" s="70"/>
      <c r="X20">
        <v>30</v>
      </c>
      <c r="Y20">
        <v>6</v>
      </c>
      <c r="Z20" s="72">
        <v>25757.5</v>
      </c>
      <c r="AA20" s="72">
        <v>25000.000000000004</v>
      </c>
    </row>
    <row r="21" spans="1:31" outlineLevel="1" x14ac:dyDescent="0.25">
      <c r="A21" s="177"/>
      <c r="B21" s="178">
        <v>43466</v>
      </c>
      <c r="C21" s="179">
        <f t="shared" ref="C21:C26" si="2">(50000)/12</f>
        <v>4166.666666666667</v>
      </c>
      <c r="D21" s="179"/>
      <c r="E21" s="179"/>
      <c r="F21" s="179"/>
      <c r="G21" s="179"/>
      <c r="H21" s="179"/>
      <c r="I21" s="179">
        <f>+I$20/30*X21</f>
        <v>24166.666666666672</v>
      </c>
      <c r="J21" s="179">
        <f t="shared" si="0"/>
        <v>8055.5555555555557</v>
      </c>
      <c r="K21" s="179">
        <f t="shared" si="1"/>
        <v>883.74999999999636</v>
      </c>
      <c r="L21" s="179"/>
      <c r="M21" s="181"/>
      <c r="O21" s="115"/>
      <c r="P21" s="61"/>
      <c r="Q21" s="40"/>
      <c r="R21" s="142"/>
      <c r="S21" s="142"/>
      <c r="T21" s="142"/>
      <c r="U21" s="142"/>
      <c r="V21" s="70"/>
      <c r="X21">
        <v>29</v>
      </c>
      <c r="Y21">
        <v>7</v>
      </c>
      <c r="Z21" s="72">
        <v>30050.416666666668</v>
      </c>
      <c r="AA21" s="72">
        <v>29166.666666666672</v>
      </c>
    </row>
    <row r="22" spans="1:31" outlineLevel="1" x14ac:dyDescent="0.25">
      <c r="A22" s="177"/>
      <c r="B22" s="178">
        <v>43497</v>
      </c>
      <c r="C22" s="179">
        <f t="shared" si="2"/>
        <v>4166.666666666667</v>
      </c>
      <c r="D22" s="179"/>
      <c r="E22" s="179"/>
      <c r="F22" s="179"/>
      <c r="G22" s="179"/>
      <c r="H22" s="179"/>
      <c r="I22" s="179">
        <f t="shared" ref="I22:I26" si="3">+I$20/30*X22</f>
        <v>23333.333333333336</v>
      </c>
      <c r="J22" s="179">
        <f t="shared" si="0"/>
        <v>7777.7777777777774</v>
      </c>
      <c r="K22" s="179">
        <f t="shared" si="1"/>
        <v>1010</v>
      </c>
      <c r="L22" s="179"/>
      <c r="M22" s="181"/>
      <c r="O22" s="115" t="s">
        <v>260</v>
      </c>
      <c r="P22" s="135">
        <v>43647</v>
      </c>
      <c r="Q22" s="40" t="s">
        <v>0</v>
      </c>
      <c r="R22" s="142">
        <v>3390041</v>
      </c>
      <c r="S22" s="142"/>
      <c r="T22" s="142"/>
      <c r="U22" s="143" t="s">
        <v>145</v>
      </c>
      <c r="V22" s="70">
        <f>+I26+J26</f>
        <v>26666.666666666672</v>
      </c>
      <c r="X22">
        <v>28</v>
      </c>
      <c r="Y22">
        <v>8</v>
      </c>
      <c r="Z22" s="72">
        <v>34343.333333333336</v>
      </c>
      <c r="AA22" s="72">
        <v>33333.333333333336</v>
      </c>
    </row>
    <row r="23" spans="1:31" outlineLevel="1" x14ac:dyDescent="0.25">
      <c r="A23" s="177"/>
      <c r="B23" s="178">
        <v>43525</v>
      </c>
      <c r="C23" s="179">
        <f t="shared" si="2"/>
        <v>4166.666666666667</v>
      </c>
      <c r="D23" s="179"/>
      <c r="E23" s="179"/>
      <c r="F23" s="179"/>
      <c r="G23" s="179"/>
      <c r="H23" s="179"/>
      <c r="I23" s="179">
        <f t="shared" si="3"/>
        <v>22500.000000000004</v>
      </c>
      <c r="J23" s="179">
        <f t="shared" si="0"/>
        <v>7500</v>
      </c>
      <c r="K23" s="179">
        <f t="shared" si="1"/>
        <v>1136.25</v>
      </c>
      <c r="L23" s="179"/>
      <c r="M23" s="181"/>
      <c r="O23" s="115"/>
      <c r="P23" s="61"/>
      <c r="Q23" s="40" t="s">
        <v>1</v>
      </c>
      <c r="R23" s="142">
        <v>4100001</v>
      </c>
      <c r="S23" s="142">
        <v>7225</v>
      </c>
      <c r="T23" s="142"/>
      <c r="U23" s="143" t="s">
        <v>269</v>
      </c>
      <c r="V23" s="70">
        <f>V22</f>
        <v>26666.666666666672</v>
      </c>
      <c r="X23">
        <v>27</v>
      </c>
      <c r="Y23">
        <v>9</v>
      </c>
      <c r="Z23" s="72">
        <v>38636.25</v>
      </c>
      <c r="AA23" s="72">
        <v>37500</v>
      </c>
    </row>
    <row r="24" spans="1:31" outlineLevel="1" x14ac:dyDescent="0.25">
      <c r="A24" s="177"/>
      <c r="B24" s="178">
        <v>43556</v>
      </c>
      <c r="C24" s="179">
        <f t="shared" si="2"/>
        <v>4166.666666666667</v>
      </c>
      <c r="D24" s="179"/>
      <c r="E24" s="179"/>
      <c r="F24" s="179"/>
      <c r="G24" s="179"/>
      <c r="H24" s="179"/>
      <c r="I24" s="179">
        <f t="shared" si="3"/>
        <v>21666.666666666672</v>
      </c>
      <c r="J24" s="179">
        <f t="shared" si="0"/>
        <v>7222.2222222222217</v>
      </c>
      <c r="K24" s="179">
        <f t="shared" si="1"/>
        <v>1262.5000000000073</v>
      </c>
      <c r="L24" s="179"/>
      <c r="M24" s="181"/>
      <c r="O24" s="115" t="s">
        <v>333</v>
      </c>
      <c r="P24" s="61"/>
      <c r="Q24" s="40"/>
      <c r="R24" s="40"/>
      <c r="S24" s="40"/>
      <c r="T24" s="40"/>
      <c r="U24" s="40"/>
      <c r="V24" s="70"/>
      <c r="X24">
        <v>26</v>
      </c>
      <c r="Y24">
        <v>10</v>
      </c>
      <c r="Z24" s="72">
        <v>42929.166666666672</v>
      </c>
      <c r="AA24" s="72">
        <v>41666.666666666664</v>
      </c>
    </row>
    <row r="25" spans="1:31" outlineLevel="1" x14ac:dyDescent="0.25">
      <c r="A25" s="177"/>
      <c r="B25" s="178">
        <v>43586</v>
      </c>
      <c r="C25" s="179">
        <f t="shared" si="2"/>
        <v>4166.666666666667</v>
      </c>
      <c r="D25" s="179"/>
      <c r="E25" s="179"/>
      <c r="F25" s="179"/>
      <c r="G25" s="179"/>
      <c r="H25" s="179"/>
      <c r="I25" s="179">
        <f t="shared" si="3"/>
        <v>20833.333333333336</v>
      </c>
      <c r="J25" s="179">
        <f t="shared" si="0"/>
        <v>6944.4444444444443</v>
      </c>
      <c r="K25" s="179">
        <f t="shared" si="1"/>
        <v>1388.7500000000073</v>
      </c>
      <c r="L25" s="179"/>
      <c r="M25" s="181"/>
      <c r="O25" s="115"/>
      <c r="P25" s="61"/>
      <c r="Q25" s="40"/>
      <c r="R25" s="40"/>
      <c r="S25" s="40"/>
      <c r="T25" s="40"/>
      <c r="U25" s="40"/>
      <c r="V25" s="70"/>
      <c r="X25">
        <v>25</v>
      </c>
      <c r="Y25">
        <v>11</v>
      </c>
      <c r="Z25" s="72">
        <v>47222.083333333336</v>
      </c>
      <c r="AA25" s="72">
        <v>45833.333333333328</v>
      </c>
    </row>
    <row r="26" spans="1:31" ht="15" customHeight="1" x14ac:dyDescent="0.25">
      <c r="A26" s="177"/>
      <c r="B26" s="178">
        <v>43617</v>
      </c>
      <c r="C26" s="179">
        <f t="shared" si="2"/>
        <v>4166.666666666667</v>
      </c>
      <c r="D26" s="179"/>
      <c r="E26" s="179"/>
      <c r="F26" s="180">
        <f>+D51-L26</f>
        <v>95578.452794870376</v>
      </c>
      <c r="G26" s="179"/>
      <c r="H26" s="180">
        <f>+D51</f>
        <v>101578.45279487038</v>
      </c>
      <c r="I26" s="180">
        <f t="shared" si="3"/>
        <v>20000.000000000004</v>
      </c>
      <c r="J26" s="180">
        <f>+J$14/36*X26</f>
        <v>6666.6666666666661</v>
      </c>
      <c r="K26" s="180">
        <f>+Z26-AA26</f>
        <v>1515.0000000000073</v>
      </c>
      <c r="L26" s="180">
        <v>6000</v>
      </c>
      <c r="M26" s="182">
        <v>4500</v>
      </c>
      <c r="O26" s="115" t="s">
        <v>112</v>
      </c>
      <c r="P26" s="135">
        <v>43647</v>
      </c>
      <c r="Q26" s="40" t="s">
        <v>0</v>
      </c>
      <c r="R26" s="40">
        <v>3395098</v>
      </c>
      <c r="S26" s="40"/>
      <c r="T26" s="40"/>
      <c r="U26" s="40" t="s">
        <v>243</v>
      </c>
      <c r="V26" s="70">
        <f>+L26</f>
        <v>6000</v>
      </c>
      <c r="X26">
        <v>24</v>
      </c>
      <c r="Y26">
        <v>12</v>
      </c>
      <c r="Z26" s="72">
        <v>51515</v>
      </c>
      <c r="AA26" s="72">
        <v>49999.999999999993</v>
      </c>
      <c r="AC26" t="s">
        <v>419</v>
      </c>
      <c r="AE26" s="72">
        <f>-AE29</f>
        <v>23894.613198717594</v>
      </c>
    </row>
    <row r="27" spans="1:31" x14ac:dyDescent="0.25">
      <c r="A27" s="28">
        <v>0</v>
      </c>
      <c r="B27" s="33">
        <v>43647</v>
      </c>
      <c r="C27" s="31">
        <f>((50000*1.03)/12)</f>
        <v>4291.666666666667</v>
      </c>
      <c r="D27" s="31">
        <f>+C27/(1+F$1)^A27</f>
        <v>4291.666666666667</v>
      </c>
      <c r="E27" s="31">
        <f>+F$26/24</f>
        <v>3982.4355331195989</v>
      </c>
      <c r="F27" s="31">
        <f>+F26-E27</f>
        <v>91596.017261750778</v>
      </c>
      <c r="G27" s="31">
        <f>+(H26-C27)*F$1</f>
        <v>243.21696532050927</v>
      </c>
      <c r="H27" s="31">
        <f>+H26-C27+G27</f>
        <v>97530.00309352421</v>
      </c>
      <c r="I27" s="233"/>
      <c r="J27" s="234"/>
      <c r="K27" s="233"/>
      <c r="L27" s="31"/>
      <c r="M27" s="32"/>
      <c r="O27" s="115"/>
      <c r="P27" s="61"/>
      <c r="Q27" s="40" t="s">
        <v>1</v>
      </c>
      <c r="R27" s="40">
        <v>5311002</v>
      </c>
      <c r="S27" s="40">
        <v>7332</v>
      </c>
      <c r="T27" s="40"/>
      <c r="U27" s="40" t="s">
        <v>146</v>
      </c>
      <c r="V27" s="70">
        <f>V26</f>
        <v>6000</v>
      </c>
      <c r="X27">
        <v>23</v>
      </c>
      <c r="Y27">
        <v>13</v>
      </c>
      <c r="Z27" s="72">
        <v>55807.916666666672</v>
      </c>
      <c r="AA27" s="72">
        <v>54291.666666666657</v>
      </c>
      <c r="AC27" t="s">
        <v>420</v>
      </c>
      <c r="AE27" s="72">
        <f>SUM(G27:G32)</f>
        <v>1306.9779221052568</v>
      </c>
    </row>
    <row r="28" spans="1:31" x14ac:dyDescent="0.25">
      <c r="A28" s="28">
        <v>1</v>
      </c>
      <c r="B28" s="33">
        <v>43678</v>
      </c>
      <c r="C28" s="31">
        <f t="shared" ref="C28:C38" si="4">((50000*1.03)/12)</f>
        <v>4291.666666666667</v>
      </c>
      <c r="D28" s="31">
        <f>+C28/(1+F$1)^A28</f>
        <v>4280.9642560266011</v>
      </c>
      <c r="E28" s="31">
        <f t="shared" ref="E28:E50" si="5">+F$26/24</f>
        <v>3982.4355331195989</v>
      </c>
      <c r="F28" s="31">
        <f t="shared" ref="F28:F50" si="6">+F27-E28</f>
        <v>87613.581728631179</v>
      </c>
      <c r="G28" s="31">
        <f t="shared" ref="G28:G50" si="7">+(H27-C28)*F$1</f>
        <v>233.09584106714385</v>
      </c>
      <c r="H28" s="31">
        <f t="shared" ref="H28:H50" si="8">+H27-C28+G28</f>
        <v>93471.432267924683</v>
      </c>
      <c r="I28" s="233"/>
      <c r="J28" s="234"/>
      <c r="K28" s="233"/>
      <c r="L28" s="31"/>
      <c r="M28" s="32"/>
      <c r="O28" s="133" t="s">
        <v>334</v>
      </c>
      <c r="P28" s="61"/>
      <c r="Q28" s="40"/>
      <c r="R28" s="40"/>
      <c r="S28" s="40"/>
      <c r="T28" s="40"/>
      <c r="U28" s="40"/>
      <c r="V28" s="70"/>
      <c r="X28">
        <v>22</v>
      </c>
      <c r="Y28">
        <v>14</v>
      </c>
      <c r="Z28" s="72">
        <v>60100.833333333336</v>
      </c>
      <c r="AA28" s="72">
        <v>58583.333333333321</v>
      </c>
      <c r="AC28" t="s">
        <v>417</v>
      </c>
      <c r="AE28" s="72">
        <f>+F26</f>
        <v>95578.452794870376</v>
      </c>
    </row>
    <row r="29" spans="1:31" x14ac:dyDescent="0.25">
      <c r="A29" s="28">
        <v>2</v>
      </c>
      <c r="B29" s="33">
        <v>43709</v>
      </c>
      <c r="C29" s="31">
        <f t="shared" si="4"/>
        <v>4291.666666666667</v>
      </c>
      <c r="D29" s="31">
        <f>+C29/(1+F$1)^A29</f>
        <v>4270.2885346898765</v>
      </c>
      <c r="E29" s="31">
        <f t="shared" si="5"/>
        <v>3982.4355331195989</v>
      </c>
      <c r="F29" s="31">
        <f t="shared" si="6"/>
        <v>83631.146195511581</v>
      </c>
      <c r="G29" s="31">
        <f t="shared" si="7"/>
        <v>222.94941400314502</v>
      </c>
      <c r="H29" s="31">
        <f t="shared" si="8"/>
        <v>89402.715015261158</v>
      </c>
      <c r="I29" s="233"/>
      <c r="J29" s="234"/>
      <c r="K29" s="233"/>
      <c r="L29" s="31"/>
      <c r="M29" s="32"/>
      <c r="O29" s="60"/>
      <c r="P29" s="61"/>
      <c r="Q29" s="40"/>
      <c r="R29" s="40"/>
      <c r="S29" s="40"/>
      <c r="T29" s="40"/>
      <c r="U29" s="40"/>
      <c r="V29" s="70"/>
      <c r="X29">
        <v>21</v>
      </c>
      <c r="Y29">
        <v>15</v>
      </c>
      <c r="Z29" s="72">
        <v>64393.750000000007</v>
      </c>
      <c r="AA29" s="72">
        <v>62874.999999999985</v>
      </c>
      <c r="AC29" t="s">
        <v>418</v>
      </c>
      <c r="AE29" s="72">
        <f>-SUM(E27:E32)</f>
        <v>-23894.613198717594</v>
      </c>
    </row>
    <row r="30" spans="1:31" ht="15" customHeight="1" x14ac:dyDescent="0.25">
      <c r="A30" s="28">
        <v>3</v>
      </c>
      <c r="B30" s="33">
        <v>43739</v>
      </c>
      <c r="C30" s="31">
        <f t="shared" si="4"/>
        <v>4291.666666666667</v>
      </c>
      <c r="D30" s="31">
        <f t="shared" ref="D30:D49" si="9">+C30/(1+F$1)^A30</f>
        <v>4259.6394360996273</v>
      </c>
      <c r="E30" s="31">
        <f t="shared" si="5"/>
        <v>3982.4355331195989</v>
      </c>
      <c r="F30" s="31">
        <f t="shared" si="6"/>
        <v>79648.710662391983</v>
      </c>
      <c r="G30" s="31">
        <f t="shared" si="7"/>
        <v>212.77762087148622</v>
      </c>
      <c r="H30" s="31">
        <f t="shared" si="8"/>
        <v>85323.825969465979</v>
      </c>
      <c r="I30" s="233"/>
      <c r="J30" s="234"/>
      <c r="K30" s="233"/>
      <c r="L30" s="31"/>
      <c r="M30" s="32"/>
      <c r="O30" s="134" t="s">
        <v>113</v>
      </c>
      <c r="P30" s="116" t="s">
        <v>32</v>
      </c>
      <c r="Q30" s="40" t="s">
        <v>0</v>
      </c>
      <c r="R30" s="40">
        <v>2241002</v>
      </c>
      <c r="S30" s="40"/>
      <c r="T30" s="40"/>
      <c r="U30" s="40" t="s">
        <v>251</v>
      </c>
      <c r="V30" s="70">
        <f>SUM(E27:E38)</f>
        <v>47789.226397435188</v>
      </c>
      <c r="X30">
        <v>20</v>
      </c>
      <c r="Y30">
        <v>16</v>
      </c>
      <c r="Z30" s="72">
        <v>68686.666666666672</v>
      </c>
      <c r="AA30" s="72">
        <v>67166.666666666657</v>
      </c>
      <c r="AC30" t="s">
        <v>104</v>
      </c>
      <c r="AE30" s="72">
        <f>-H32</f>
        <v>-77135.430716975607</v>
      </c>
    </row>
    <row r="31" spans="1:31" x14ac:dyDescent="0.25">
      <c r="A31" s="28">
        <v>4</v>
      </c>
      <c r="B31" s="33">
        <v>43770</v>
      </c>
      <c r="C31" s="31">
        <f t="shared" si="4"/>
        <v>4291.666666666667</v>
      </c>
      <c r="D31" s="31">
        <f>+C31/(1+F$1)^A31</f>
        <v>4249.0168938649649</v>
      </c>
      <c r="E31" s="31">
        <f t="shared" si="5"/>
        <v>3982.4355331195989</v>
      </c>
      <c r="F31" s="31">
        <f t="shared" si="6"/>
        <v>75666.275129272384</v>
      </c>
      <c r="G31" s="31">
        <f t="shared" si="7"/>
        <v>202.58039825699828</v>
      </c>
      <c r="H31" s="31">
        <f t="shared" si="8"/>
        <v>81234.7397010563</v>
      </c>
      <c r="I31" s="233"/>
      <c r="J31" s="234"/>
      <c r="K31" s="233"/>
      <c r="L31" s="31"/>
      <c r="M31" s="32"/>
      <c r="O31" s="60"/>
      <c r="P31" s="61"/>
      <c r="Q31" s="40" t="s">
        <v>1</v>
      </c>
      <c r="R31" s="40">
        <v>5311002</v>
      </c>
      <c r="S31" s="40">
        <v>7353</v>
      </c>
      <c r="T31" s="40"/>
      <c r="U31" s="40" t="s">
        <v>105</v>
      </c>
      <c r="V31" s="70">
        <f>V30</f>
        <v>47789.226397435188</v>
      </c>
      <c r="X31">
        <v>19</v>
      </c>
      <c r="Y31">
        <v>17</v>
      </c>
      <c r="Z31" s="72">
        <v>72979.583333333343</v>
      </c>
      <c r="AA31" s="72">
        <v>71458.333333333328</v>
      </c>
      <c r="AC31" t="s">
        <v>421</v>
      </c>
      <c r="AE31" s="72">
        <f>-SUM(C27:C32)</f>
        <v>-25750.000000000004</v>
      </c>
    </row>
    <row r="32" spans="1:31" x14ac:dyDescent="0.25">
      <c r="A32" s="248">
        <v>5</v>
      </c>
      <c r="B32" s="249">
        <v>43800</v>
      </c>
      <c r="C32" s="75">
        <f t="shared" si="4"/>
        <v>4291.666666666667</v>
      </c>
      <c r="D32" s="75">
        <f t="shared" si="9"/>
        <v>4238.4208417605632</v>
      </c>
      <c r="E32" s="75">
        <f t="shared" si="5"/>
        <v>3982.4355331195989</v>
      </c>
      <c r="F32" s="75">
        <f t="shared" si="6"/>
        <v>71683.839596152786</v>
      </c>
      <c r="G32" s="75">
        <f t="shared" si="7"/>
        <v>192.35768258597409</v>
      </c>
      <c r="H32" s="75">
        <f t="shared" si="8"/>
        <v>77135.430716975607</v>
      </c>
      <c r="I32" s="233"/>
      <c r="J32" s="234"/>
      <c r="K32" s="233"/>
      <c r="L32" s="31"/>
      <c r="M32" s="32"/>
      <c r="O32" s="133" t="s">
        <v>187</v>
      </c>
      <c r="P32" s="61"/>
      <c r="Q32" s="40"/>
      <c r="R32" s="40"/>
      <c r="S32" s="40"/>
      <c r="T32" s="40"/>
      <c r="U32" s="40"/>
      <c r="V32" s="70"/>
      <c r="X32">
        <v>18</v>
      </c>
      <c r="Y32">
        <v>18</v>
      </c>
      <c r="Z32" s="72">
        <v>77272.5</v>
      </c>
      <c r="AA32" s="72">
        <v>75750</v>
      </c>
      <c r="AC32" t="s">
        <v>422</v>
      </c>
      <c r="AE32" s="72">
        <f>+L26</f>
        <v>6000</v>
      </c>
    </row>
    <row r="33" spans="1:27" x14ac:dyDescent="0.25">
      <c r="A33" s="28">
        <v>6</v>
      </c>
      <c r="B33" s="33">
        <v>43831</v>
      </c>
      <c r="C33" s="31">
        <f t="shared" si="4"/>
        <v>4291.666666666667</v>
      </c>
      <c r="D33" s="31">
        <f t="shared" si="9"/>
        <v>4227.8512137262487</v>
      </c>
      <c r="E33" s="31">
        <f t="shared" si="5"/>
        <v>3982.4355331195989</v>
      </c>
      <c r="F33" s="31">
        <f t="shared" si="6"/>
        <v>67701.404063033187</v>
      </c>
      <c r="G33" s="31">
        <f t="shared" si="7"/>
        <v>182.10941012577234</v>
      </c>
      <c r="H33" s="31">
        <f t="shared" si="8"/>
        <v>73025.873460434712</v>
      </c>
      <c r="I33" s="233"/>
      <c r="J33" s="234"/>
      <c r="K33" s="233"/>
      <c r="L33" s="31"/>
      <c r="M33" s="32"/>
      <c r="O33" s="60"/>
      <c r="P33" s="61"/>
      <c r="Q33" s="40"/>
      <c r="R33" s="40"/>
      <c r="S33" s="40"/>
      <c r="T33" s="40"/>
      <c r="U33" s="40"/>
      <c r="V33" s="70"/>
      <c r="X33">
        <v>17</v>
      </c>
      <c r="Y33">
        <v>19</v>
      </c>
      <c r="Z33" s="72">
        <v>81565.416666666672</v>
      </c>
      <c r="AA33" s="72">
        <v>80041.666666666672</v>
      </c>
    </row>
    <row r="34" spans="1:27" x14ac:dyDescent="0.25">
      <c r="A34" s="28">
        <v>7</v>
      </c>
      <c r="B34" s="33">
        <v>43862</v>
      </c>
      <c r="C34" s="31">
        <f t="shared" si="4"/>
        <v>4291.666666666667</v>
      </c>
      <c r="D34" s="31">
        <f t="shared" si="9"/>
        <v>4217.3079438665827</v>
      </c>
      <c r="E34" s="31">
        <f t="shared" si="5"/>
        <v>3982.4355331195989</v>
      </c>
      <c r="F34" s="31">
        <f t="shared" si="6"/>
        <v>63718.968529913589</v>
      </c>
      <c r="G34" s="31">
        <f t="shared" si="7"/>
        <v>171.83551698442011</v>
      </c>
      <c r="H34" s="31">
        <f t="shared" si="8"/>
        <v>68906.042310752455</v>
      </c>
      <c r="I34" s="233"/>
      <c r="J34" s="234"/>
      <c r="K34" s="233"/>
      <c r="L34" s="31"/>
      <c r="M34" s="32"/>
      <c r="O34" s="115" t="s">
        <v>114</v>
      </c>
      <c r="P34" s="116" t="s">
        <v>32</v>
      </c>
      <c r="Q34" s="40" t="s">
        <v>0</v>
      </c>
      <c r="R34" s="40">
        <v>3240106</v>
      </c>
      <c r="S34" s="40"/>
      <c r="T34" s="40"/>
      <c r="U34" s="40" t="s">
        <v>271</v>
      </c>
      <c r="V34" s="70">
        <f>V36-V35</f>
        <v>49254.988673058513</v>
      </c>
      <c r="X34">
        <v>16</v>
      </c>
      <c r="Y34">
        <v>20</v>
      </c>
      <c r="Z34" s="72">
        <v>85858.333333333343</v>
      </c>
      <c r="AA34" s="72">
        <v>84333.333333333343</v>
      </c>
    </row>
    <row r="35" spans="1:27" x14ac:dyDescent="0.25">
      <c r="A35" s="28">
        <v>8</v>
      </c>
      <c r="B35" s="33">
        <v>43891</v>
      </c>
      <c r="C35" s="31">
        <f t="shared" si="4"/>
        <v>4291.666666666667</v>
      </c>
      <c r="D35" s="31">
        <f t="shared" si="9"/>
        <v>4206.7909664504559</v>
      </c>
      <c r="E35" s="31">
        <f t="shared" si="5"/>
        <v>3982.4355331195989</v>
      </c>
      <c r="F35" s="31">
        <f t="shared" si="6"/>
        <v>59736.532996793991</v>
      </c>
      <c r="G35" s="31">
        <f t="shared" si="7"/>
        <v>161.53593911021449</v>
      </c>
      <c r="H35" s="31">
        <f t="shared" si="8"/>
        <v>64775.911583196008</v>
      </c>
      <c r="I35" s="233"/>
      <c r="J35" s="234"/>
      <c r="K35" s="233"/>
      <c r="L35" s="31"/>
      <c r="M35" s="32"/>
      <c r="O35" s="60"/>
      <c r="P35" s="61"/>
      <c r="Q35" s="40" t="s">
        <v>0</v>
      </c>
      <c r="R35" s="40">
        <v>2422020</v>
      </c>
      <c r="S35" s="40"/>
      <c r="T35" s="40"/>
      <c r="U35" s="40" t="s">
        <v>161</v>
      </c>
      <c r="V35" s="70">
        <f>SUM(G27:G38)</f>
        <v>2245.0113269414787</v>
      </c>
      <c r="X35">
        <v>15</v>
      </c>
      <c r="Y35">
        <v>21</v>
      </c>
      <c r="Z35" s="72">
        <v>90151.25</v>
      </c>
      <c r="AA35" s="72">
        <v>88625.000000000015</v>
      </c>
    </row>
    <row r="36" spans="1:27" x14ac:dyDescent="0.25">
      <c r="A36" s="28">
        <v>9</v>
      </c>
      <c r="B36" s="33">
        <v>43922</v>
      </c>
      <c r="C36" s="31">
        <f t="shared" si="4"/>
        <v>4291.666666666667</v>
      </c>
      <c r="D36" s="31">
        <f t="shared" si="9"/>
        <v>4196.30021591068</v>
      </c>
      <c r="E36" s="31">
        <f t="shared" si="5"/>
        <v>3982.4355331195989</v>
      </c>
      <c r="F36" s="31">
        <f t="shared" si="6"/>
        <v>55754.097463674392</v>
      </c>
      <c r="G36" s="31">
        <f t="shared" si="7"/>
        <v>151.21061229132337</v>
      </c>
      <c r="H36" s="31">
        <f t="shared" si="8"/>
        <v>60635.455528820668</v>
      </c>
      <c r="I36" s="233"/>
      <c r="J36" s="234"/>
      <c r="K36" s="233"/>
      <c r="L36" s="31"/>
      <c r="M36" s="32"/>
      <c r="O36" s="60"/>
      <c r="P36" s="61"/>
      <c r="Q36" s="40" t="s">
        <v>1</v>
      </c>
      <c r="R36" s="40"/>
      <c r="S36" s="40"/>
      <c r="T36" s="40"/>
      <c r="U36" s="40" t="s">
        <v>31</v>
      </c>
      <c r="V36" s="70">
        <f>SUM(C27:C38)</f>
        <v>51499.999999999993</v>
      </c>
      <c r="X36">
        <v>14</v>
      </c>
      <c r="Y36">
        <v>22</v>
      </c>
      <c r="Z36" s="72">
        <v>94444.166666666672</v>
      </c>
      <c r="AA36" s="72">
        <v>92916.666666666686</v>
      </c>
    </row>
    <row r="37" spans="1:27" x14ac:dyDescent="0.25">
      <c r="A37" s="28">
        <v>10</v>
      </c>
      <c r="B37" s="33">
        <v>43952</v>
      </c>
      <c r="C37" s="31">
        <f t="shared" si="4"/>
        <v>4291.666666666667</v>
      </c>
      <c r="D37" s="31">
        <f t="shared" si="9"/>
        <v>4185.8356268435709</v>
      </c>
      <c r="E37" s="31">
        <f t="shared" si="5"/>
        <v>3982.4355331195989</v>
      </c>
      <c r="F37" s="31">
        <f t="shared" si="6"/>
        <v>51771.661930554794</v>
      </c>
      <c r="G37" s="31">
        <f t="shared" si="7"/>
        <v>140.85947215538502</v>
      </c>
      <c r="H37" s="31">
        <f t="shared" si="8"/>
        <v>56484.648334309386</v>
      </c>
      <c r="I37" s="233"/>
      <c r="J37" s="234"/>
      <c r="K37" s="233"/>
      <c r="L37" s="31"/>
      <c r="M37" s="32"/>
      <c r="O37" s="133" t="s">
        <v>117</v>
      </c>
      <c r="P37" s="61"/>
      <c r="Q37" s="40"/>
      <c r="R37" s="40"/>
      <c r="S37" s="40"/>
      <c r="T37" s="40"/>
      <c r="U37" s="40"/>
      <c r="V37" s="70"/>
      <c r="X37">
        <v>13</v>
      </c>
      <c r="Y37">
        <v>23</v>
      </c>
      <c r="Z37" s="72">
        <v>98737.083333333343</v>
      </c>
      <c r="AA37" s="72">
        <v>97208.333333333358</v>
      </c>
    </row>
    <row r="38" spans="1:27" ht="15.75" thickBot="1" x14ac:dyDescent="0.3">
      <c r="A38" s="28">
        <v>11</v>
      </c>
      <c r="B38" s="33">
        <v>43983</v>
      </c>
      <c r="C38" s="31">
        <f t="shared" si="4"/>
        <v>4291.666666666667</v>
      </c>
      <c r="D38" s="31">
        <f>+C38/(1+F$1)^A38</f>
        <v>4175.3971340085509</v>
      </c>
      <c r="E38" s="31">
        <f t="shared" si="5"/>
        <v>3982.4355331195989</v>
      </c>
      <c r="F38" s="31">
        <f t="shared" si="6"/>
        <v>47789.226397435195</v>
      </c>
      <c r="G38" s="31">
        <f t="shared" si="7"/>
        <v>130.4824541691068</v>
      </c>
      <c r="H38" s="31">
        <f t="shared" si="8"/>
        <v>52323.464121811827</v>
      </c>
      <c r="I38" s="233"/>
      <c r="J38" s="234"/>
      <c r="K38" s="233"/>
      <c r="L38" s="31"/>
      <c r="M38" s="32"/>
      <c r="O38" s="60"/>
      <c r="P38" s="61"/>
      <c r="Q38" s="40"/>
      <c r="R38" s="40"/>
      <c r="S38" s="40"/>
      <c r="T38" s="40"/>
      <c r="U38" s="40"/>
      <c r="V38" s="70"/>
      <c r="X38">
        <v>12</v>
      </c>
      <c r="Y38">
        <v>24</v>
      </c>
      <c r="Z38" s="72">
        <v>103030</v>
      </c>
      <c r="AA38" s="72">
        <v>101500.00000000003</v>
      </c>
    </row>
    <row r="39" spans="1:27" x14ac:dyDescent="0.25">
      <c r="A39" s="28">
        <v>12</v>
      </c>
      <c r="B39" s="33">
        <v>44013</v>
      </c>
      <c r="C39" s="31">
        <f>(50000*1.03^2)/12</f>
        <v>4420.416666666667</v>
      </c>
      <c r="D39" s="31">
        <f>+C39/(1+F$1)^A39</f>
        <v>4289.9342124975628</v>
      </c>
      <c r="E39" s="31">
        <f t="shared" si="5"/>
        <v>3982.4355331195989</v>
      </c>
      <c r="F39" s="31">
        <f t="shared" si="6"/>
        <v>43806.790864315597</v>
      </c>
      <c r="G39" s="31">
        <f t="shared" si="7"/>
        <v>119.7576186378629</v>
      </c>
      <c r="H39" s="31">
        <f t="shared" si="8"/>
        <v>48022.805073783027</v>
      </c>
      <c r="I39" s="233"/>
      <c r="J39" s="234"/>
      <c r="K39" s="233"/>
      <c r="L39" s="31"/>
      <c r="M39" s="32"/>
      <c r="O39" s="124" t="s">
        <v>116</v>
      </c>
      <c r="P39" s="125" t="s">
        <v>106</v>
      </c>
      <c r="Q39" s="51" t="s">
        <v>0</v>
      </c>
      <c r="R39" s="51">
        <v>2241002</v>
      </c>
      <c r="S39" s="51"/>
      <c r="T39" s="51"/>
      <c r="U39" s="51" t="s">
        <v>251</v>
      </c>
      <c r="V39" s="69">
        <f>SUM(E39:E50)</f>
        <v>47789.226397435188</v>
      </c>
      <c r="X39">
        <v>11</v>
      </c>
      <c r="Y39">
        <v>25</v>
      </c>
      <c r="Z39" s="72">
        <v>107322.91666666667</v>
      </c>
      <c r="AA39" s="72">
        <v>105920.4166666667</v>
      </c>
    </row>
    <row r="40" spans="1:27" x14ac:dyDescent="0.25">
      <c r="A40" s="28">
        <v>13</v>
      </c>
      <c r="B40" s="33">
        <v>44044</v>
      </c>
      <c r="C40" s="31">
        <f t="shared" ref="C40:C50" si="10">(50000*1.03^2)/12</f>
        <v>4420.416666666667</v>
      </c>
      <c r="D40" s="31">
        <f t="shared" si="9"/>
        <v>4279.2361221920819</v>
      </c>
      <c r="E40" s="31">
        <f t="shared" si="5"/>
        <v>3982.4355331195989</v>
      </c>
      <c r="F40" s="31">
        <f t="shared" si="6"/>
        <v>39824.355331195999</v>
      </c>
      <c r="G40" s="31">
        <f t="shared" si="7"/>
        <v>109.00597101779091</v>
      </c>
      <c r="H40" s="31">
        <f t="shared" si="8"/>
        <v>43711.394378134151</v>
      </c>
      <c r="I40" s="233"/>
      <c r="J40" s="234"/>
      <c r="K40" s="233"/>
      <c r="L40" s="31"/>
      <c r="M40" s="32"/>
      <c r="O40" s="60"/>
      <c r="P40" s="61"/>
      <c r="Q40" s="40" t="s">
        <v>1</v>
      </c>
      <c r="R40" s="40">
        <v>5311002</v>
      </c>
      <c r="S40" s="40">
        <v>7353</v>
      </c>
      <c r="T40" s="40"/>
      <c r="U40" s="40" t="s">
        <v>105</v>
      </c>
      <c r="V40" s="70">
        <f>V39</f>
        <v>47789.226397435188</v>
      </c>
      <c r="X40">
        <v>10</v>
      </c>
      <c r="Y40">
        <v>26</v>
      </c>
      <c r="Z40" s="72">
        <v>111615.83333333334</v>
      </c>
      <c r="AA40" s="72">
        <v>110340.83333333337</v>
      </c>
    </row>
    <row r="41" spans="1:27" x14ac:dyDescent="0.25">
      <c r="A41" s="28">
        <v>14</v>
      </c>
      <c r="B41" s="33">
        <v>44075</v>
      </c>
      <c r="C41" s="31">
        <f t="shared" si="10"/>
        <v>4420.416666666667</v>
      </c>
      <c r="D41" s="31">
        <f t="shared" si="9"/>
        <v>4268.5647104160435</v>
      </c>
      <c r="E41" s="31">
        <f t="shared" si="5"/>
        <v>3982.4355331195989</v>
      </c>
      <c r="F41" s="31">
        <f t="shared" si="6"/>
        <v>35841.9197980764</v>
      </c>
      <c r="G41" s="31">
        <f t="shared" si="7"/>
        <v>98.227444278668713</v>
      </c>
      <c r="H41" s="31">
        <f t="shared" si="8"/>
        <v>39389.205155746153</v>
      </c>
      <c r="I41" s="233"/>
      <c r="J41" s="234"/>
      <c r="K41" s="233"/>
      <c r="L41" s="31"/>
      <c r="M41" s="32"/>
      <c r="O41" s="133" t="s">
        <v>188</v>
      </c>
      <c r="P41" s="61"/>
      <c r="Q41" s="40"/>
      <c r="R41" s="40"/>
      <c r="S41" s="40"/>
      <c r="T41" s="40"/>
      <c r="U41" s="40"/>
      <c r="V41" s="70"/>
      <c r="X41">
        <v>9</v>
      </c>
      <c r="Y41">
        <v>27</v>
      </c>
      <c r="Z41" s="72">
        <v>115908.75000000001</v>
      </c>
      <c r="AA41" s="72">
        <v>114761.25000000004</v>
      </c>
    </row>
    <row r="42" spans="1:27" x14ac:dyDescent="0.25">
      <c r="A42" s="28">
        <v>15</v>
      </c>
      <c r="B42" s="33">
        <v>44105</v>
      </c>
      <c r="C42" s="31">
        <f t="shared" si="10"/>
        <v>4420.416666666667</v>
      </c>
      <c r="D42" s="31">
        <f t="shared" si="9"/>
        <v>4257.9199106394453</v>
      </c>
      <c r="E42" s="31">
        <f t="shared" si="5"/>
        <v>3982.4355331195989</v>
      </c>
      <c r="F42" s="31">
        <f t="shared" si="6"/>
        <v>31859.484264956802</v>
      </c>
      <c r="G42" s="31">
        <f t="shared" si="7"/>
        <v>87.42197122269873</v>
      </c>
      <c r="H42" s="31">
        <f t="shared" si="8"/>
        <v>35056.210460302187</v>
      </c>
      <c r="I42" s="233"/>
      <c r="J42" s="234"/>
      <c r="K42" s="233"/>
      <c r="L42" s="31"/>
      <c r="M42" s="32"/>
      <c r="O42" s="60"/>
      <c r="P42" s="61"/>
      <c r="Q42" s="40"/>
      <c r="R42" s="40"/>
      <c r="S42" s="40"/>
      <c r="T42" s="40"/>
      <c r="U42" s="40"/>
      <c r="V42" s="70"/>
      <c r="X42">
        <v>8</v>
      </c>
      <c r="Y42">
        <v>28</v>
      </c>
      <c r="Z42" s="72">
        <v>120201.66666666667</v>
      </c>
      <c r="AA42" s="72">
        <v>119181.66666666672</v>
      </c>
    </row>
    <row r="43" spans="1:27" x14ac:dyDescent="0.25">
      <c r="A43" s="28">
        <v>16</v>
      </c>
      <c r="B43" s="33">
        <v>44136</v>
      </c>
      <c r="C43" s="31">
        <f t="shared" si="10"/>
        <v>4420.416666666667</v>
      </c>
      <c r="D43" s="31">
        <f t="shared" si="9"/>
        <v>4247.301656498199</v>
      </c>
      <c r="E43" s="31">
        <f t="shared" si="5"/>
        <v>3982.4355331195989</v>
      </c>
      <c r="F43" s="31">
        <f t="shared" si="6"/>
        <v>27877.048731837203</v>
      </c>
      <c r="G43" s="31">
        <f t="shared" si="7"/>
        <v>76.5894844840888</v>
      </c>
      <c r="H43" s="31">
        <f t="shared" si="8"/>
        <v>30712.383278119607</v>
      </c>
      <c r="I43" s="233"/>
      <c r="J43" s="234"/>
      <c r="K43" s="233"/>
      <c r="L43" s="31"/>
      <c r="M43" s="32"/>
      <c r="O43" s="134" t="s">
        <v>118</v>
      </c>
      <c r="P43" s="116" t="s">
        <v>106</v>
      </c>
      <c r="Q43" s="40" t="s">
        <v>0</v>
      </c>
      <c r="R43" s="40">
        <v>3240106</v>
      </c>
      <c r="S43" s="40"/>
      <c r="T43" s="40"/>
      <c r="U43" s="40" t="s">
        <v>271</v>
      </c>
      <c r="V43" s="70">
        <f>V45-V44</f>
        <v>52323.46412181179</v>
      </c>
      <c r="X43">
        <v>7</v>
      </c>
      <c r="Y43">
        <v>29</v>
      </c>
      <c r="Z43" s="72">
        <v>124494.58333333334</v>
      </c>
      <c r="AA43" s="72">
        <v>123602.08333333339</v>
      </c>
    </row>
    <row r="44" spans="1:27" x14ac:dyDescent="0.25">
      <c r="A44" s="28">
        <v>17</v>
      </c>
      <c r="B44" s="33">
        <v>44166</v>
      </c>
      <c r="C44" s="31">
        <f t="shared" si="10"/>
        <v>4420.416666666667</v>
      </c>
      <c r="D44" s="31">
        <f t="shared" si="9"/>
        <v>4236.7098817937149</v>
      </c>
      <c r="E44" s="31">
        <f t="shared" si="5"/>
        <v>3982.4355331195989</v>
      </c>
      <c r="F44" s="31">
        <f t="shared" si="6"/>
        <v>23894.613198717605</v>
      </c>
      <c r="G44" s="31">
        <f t="shared" si="7"/>
        <v>65.729916528632344</v>
      </c>
      <c r="H44" s="31">
        <f t="shared" si="8"/>
        <v>26357.69652798157</v>
      </c>
      <c r="I44" s="233"/>
      <c r="J44" s="234"/>
      <c r="K44" s="233"/>
      <c r="L44" s="31"/>
      <c r="M44" s="32"/>
      <c r="O44" s="60"/>
      <c r="P44" s="61"/>
      <c r="Q44" s="40" t="s">
        <v>0</v>
      </c>
      <c r="R44" s="40">
        <v>2422020</v>
      </c>
      <c r="S44" s="40"/>
      <c r="T44" s="40"/>
      <c r="U44" s="40" t="s">
        <v>161</v>
      </c>
      <c r="V44" s="70">
        <f>SUM(G39:G50)</f>
        <v>721.53587818819869</v>
      </c>
      <c r="X44">
        <v>6</v>
      </c>
      <c r="Y44">
        <v>30</v>
      </c>
      <c r="Z44" s="72">
        <v>128787.50000000001</v>
      </c>
      <c r="AA44" s="72">
        <v>128022.50000000006</v>
      </c>
    </row>
    <row r="45" spans="1:27" x14ac:dyDescent="0.25">
      <c r="A45" s="28">
        <v>18</v>
      </c>
      <c r="B45" s="33">
        <v>44197</v>
      </c>
      <c r="C45" s="31">
        <f t="shared" si="10"/>
        <v>4420.416666666667</v>
      </c>
      <c r="D45" s="31">
        <f t="shared" si="9"/>
        <v>4226.1445204924839</v>
      </c>
      <c r="E45" s="31">
        <f t="shared" si="5"/>
        <v>3982.4355331195989</v>
      </c>
      <c r="F45" s="31">
        <f t="shared" si="6"/>
        <v>19912.177665598007</v>
      </c>
      <c r="G45" s="31">
        <f t="shared" si="7"/>
        <v>54.843199653287257</v>
      </c>
      <c r="H45" s="31">
        <f t="shared" si="8"/>
        <v>21992.123060968192</v>
      </c>
      <c r="I45" s="233"/>
      <c r="J45" s="234"/>
      <c r="K45" s="233"/>
      <c r="L45" s="31"/>
      <c r="M45" s="32"/>
      <c r="O45" s="60"/>
      <c r="P45" s="61"/>
      <c r="Q45" s="40" t="s">
        <v>1</v>
      </c>
      <c r="R45" s="40"/>
      <c r="S45" s="40"/>
      <c r="T45" s="40"/>
      <c r="U45" s="40" t="s">
        <v>31</v>
      </c>
      <c r="V45" s="70">
        <f>SUM(C39:C50)</f>
        <v>53044.999999999993</v>
      </c>
      <c r="X45">
        <v>5</v>
      </c>
      <c r="Y45">
        <v>31</v>
      </c>
      <c r="Z45" s="72">
        <v>133080.41666666669</v>
      </c>
      <c r="AA45" s="72">
        <v>132442.91666666672</v>
      </c>
    </row>
    <row r="46" spans="1:27" x14ac:dyDescent="0.25">
      <c r="A46" s="28">
        <v>19</v>
      </c>
      <c r="B46" s="33">
        <v>44228</v>
      </c>
      <c r="C46" s="31">
        <f t="shared" si="10"/>
        <v>4420.416666666667</v>
      </c>
      <c r="D46" s="31">
        <f t="shared" si="9"/>
        <v>4215.6055067256702</v>
      </c>
      <c r="E46" s="31">
        <f t="shared" si="5"/>
        <v>3982.4355331195989</v>
      </c>
      <c r="F46" s="31">
        <f t="shared" si="6"/>
        <v>15929.742132478408</v>
      </c>
      <c r="G46" s="31">
        <f t="shared" si="7"/>
        <v>43.929265985753808</v>
      </c>
      <c r="H46" s="31">
        <f t="shared" si="8"/>
        <v>17615.635660287277</v>
      </c>
      <c r="I46" s="233"/>
      <c r="J46" s="234"/>
      <c r="K46" s="233"/>
      <c r="L46" s="31"/>
      <c r="M46" s="32"/>
      <c r="O46" s="133" t="s">
        <v>119</v>
      </c>
      <c r="P46" s="61"/>
      <c r="Q46" s="40"/>
      <c r="R46" s="40"/>
      <c r="S46" s="40"/>
      <c r="T46" s="40"/>
      <c r="U46" s="40"/>
      <c r="V46" s="70"/>
      <c r="X46">
        <v>4</v>
      </c>
      <c r="Y46">
        <v>32</v>
      </c>
      <c r="Z46" s="72">
        <v>137373.33333333334</v>
      </c>
      <c r="AA46" s="72">
        <v>136863.33333333337</v>
      </c>
    </row>
    <row r="47" spans="1:27" x14ac:dyDescent="0.25">
      <c r="A47" s="28">
        <v>20</v>
      </c>
      <c r="B47" s="33">
        <v>44256</v>
      </c>
      <c r="C47" s="31">
        <f t="shared" si="10"/>
        <v>4420.416666666667</v>
      </c>
      <c r="D47" s="31">
        <f t="shared" si="9"/>
        <v>4205.0927747886981</v>
      </c>
      <c r="E47" s="31">
        <f t="shared" si="5"/>
        <v>3982.4355331195989</v>
      </c>
      <c r="F47" s="31">
        <f t="shared" si="6"/>
        <v>11947.30659935881</v>
      </c>
      <c r="G47" s="31">
        <f t="shared" si="7"/>
        <v>32.988047484051521</v>
      </c>
      <c r="H47" s="31">
        <f t="shared" si="8"/>
        <v>13228.207041104661</v>
      </c>
      <c r="I47" s="233"/>
      <c r="J47" s="234"/>
      <c r="K47" s="233"/>
      <c r="L47" s="31"/>
      <c r="M47" s="32"/>
      <c r="O47" s="60"/>
      <c r="P47" s="61"/>
      <c r="Q47" s="40"/>
      <c r="R47" s="40"/>
      <c r="S47" s="40"/>
      <c r="T47" s="40"/>
      <c r="U47" s="40"/>
      <c r="V47" s="70"/>
      <c r="X47">
        <v>3</v>
      </c>
      <c r="Y47">
        <v>33</v>
      </c>
      <c r="Z47" s="72">
        <v>141666.25</v>
      </c>
      <c r="AA47" s="72">
        <v>141283.75000000003</v>
      </c>
    </row>
    <row r="48" spans="1:27" x14ac:dyDescent="0.25">
      <c r="A48" s="28">
        <v>21</v>
      </c>
      <c r="B48" s="33">
        <v>44287</v>
      </c>
      <c r="C48" s="31">
        <f t="shared" si="10"/>
        <v>4420.416666666667</v>
      </c>
      <c r="D48" s="31">
        <f>+C48/(1+F$1)^A48</f>
        <v>4194.6062591408463</v>
      </c>
      <c r="E48" s="31">
        <f t="shared" si="5"/>
        <v>3982.4355331195989</v>
      </c>
      <c r="F48" s="31">
        <f t="shared" si="6"/>
        <v>7964.8710662392114</v>
      </c>
      <c r="G48" s="31">
        <f t="shared" si="7"/>
        <v>22.019475936094988</v>
      </c>
      <c r="H48" s="31">
        <f t="shared" si="8"/>
        <v>8829.8098503740894</v>
      </c>
      <c r="I48" s="233"/>
      <c r="J48" s="234"/>
      <c r="K48" s="233"/>
      <c r="L48" s="31"/>
      <c r="M48" s="32"/>
      <c r="O48" s="60"/>
      <c r="P48" s="61"/>
      <c r="Q48" s="40"/>
      <c r="R48" s="40"/>
      <c r="S48" s="40"/>
      <c r="T48" s="40"/>
      <c r="U48" s="40"/>
      <c r="V48" s="70"/>
      <c r="X48">
        <v>2</v>
      </c>
      <c r="Y48">
        <v>34</v>
      </c>
      <c r="Z48" s="72">
        <v>145959.16666666669</v>
      </c>
      <c r="AA48" s="72">
        <v>145704.16666666669</v>
      </c>
    </row>
    <row r="49" spans="1:27" x14ac:dyDescent="0.25">
      <c r="A49" s="28">
        <v>22</v>
      </c>
      <c r="B49" s="33">
        <v>44317</v>
      </c>
      <c r="C49" s="31">
        <f t="shared" si="10"/>
        <v>4420.416666666667</v>
      </c>
      <c r="D49" s="31">
        <f t="shared" si="9"/>
        <v>4184.1458944048354</v>
      </c>
      <c r="E49" s="31">
        <f t="shared" si="5"/>
        <v>3982.4355331195989</v>
      </c>
      <c r="F49" s="31">
        <f t="shared" si="6"/>
        <v>3982.4355331196125</v>
      </c>
      <c r="G49" s="31">
        <f t="shared" si="7"/>
        <v>11.023482959268556</v>
      </c>
      <c r="H49" s="31">
        <f t="shared" si="8"/>
        <v>4420.4166666666906</v>
      </c>
      <c r="I49" s="233"/>
      <c r="J49" s="234"/>
      <c r="K49" s="233"/>
      <c r="L49" s="31"/>
      <c r="M49" s="32"/>
      <c r="O49" s="60"/>
      <c r="P49" s="61"/>
      <c r="Q49" s="40"/>
      <c r="R49" s="40"/>
      <c r="S49" s="40"/>
      <c r="T49" s="40"/>
      <c r="U49" s="40"/>
      <c r="V49" s="70"/>
      <c r="X49">
        <v>1</v>
      </c>
      <c r="Y49">
        <v>35</v>
      </c>
      <c r="Z49" s="72">
        <v>150252.08333333334</v>
      </c>
      <c r="AA49" s="72">
        <v>150124.58333333334</v>
      </c>
    </row>
    <row r="50" spans="1:27" x14ac:dyDescent="0.25">
      <c r="A50" s="28">
        <v>23</v>
      </c>
      <c r="B50" s="33">
        <v>44348</v>
      </c>
      <c r="C50" s="31">
        <f t="shared" si="10"/>
        <v>4420.416666666667</v>
      </c>
      <c r="D50" s="31">
        <f>+C50/(1+F$1)^A50</f>
        <v>4173.7116153664192</v>
      </c>
      <c r="E50" s="31">
        <f t="shared" si="5"/>
        <v>3982.4355331195989</v>
      </c>
      <c r="F50" s="31">
        <f t="shared" si="6"/>
        <v>1.3642420526593924E-11</v>
      </c>
      <c r="G50" s="31">
        <f t="shared" si="7"/>
        <v>5.9117155615240337E-14</v>
      </c>
      <c r="H50" s="31">
        <f t="shared" si="8"/>
        <v>2.3705979401711376E-11</v>
      </c>
      <c r="I50" s="233"/>
      <c r="J50" s="234"/>
      <c r="K50" s="233"/>
      <c r="L50" s="31"/>
      <c r="M50" s="32"/>
      <c r="O50" s="60"/>
      <c r="P50" s="61"/>
      <c r="Q50" s="40"/>
      <c r="R50" s="40"/>
      <c r="S50" s="40"/>
      <c r="T50" s="40"/>
      <c r="U50" s="40"/>
      <c r="V50" s="70"/>
      <c r="X50">
        <v>0</v>
      </c>
      <c r="Y50">
        <v>36</v>
      </c>
      <c r="Z50" s="72">
        <v>154545</v>
      </c>
      <c r="AA50" s="72">
        <v>154545</v>
      </c>
    </row>
    <row r="51" spans="1:27" ht="15.75" thickBot="1" x14ac:dyDescent="0.3">
      <c r="A51" s="35"/>
      <c r="B51" s="36"/>
      <c r="C51" s="37">
        <f>SUM(C14:C50)</f>
        <v>129545.00000000006</v>
      </c>
      <c r="D51" s="37">
        <f>SUM(D14:D50)</f>
        <v>101578.45279487038</v>
      </c>
      <c r="E51" s="37">
        <f>SUM(E14:E50)</f>
        <v>95578.452794870376</v>
      </c>
      <c r="F51" s="36"/>
      <c r="G51" s="37">
        <f>SUM(G14:G50)</f>
        <v>2966.5472051296774</v>
      </c>
      <c r="H51" s="36"/>
      <c r="I51" s="36"/>
      <c r="J51" s="36"/>
      <c r="K51" s="36"/>
      <c r="L51" s="36"/>
      <c r="M51" s="38"/>
      <c r="O51" s="62"/>
      <c r="P51" s="63"/>
      <c r="Q51" s="47"/>
      <c r="R51" s="47"/>
      <c r="S51" s="47"/>
      <c r="T51" s="47"/>
      <c r="U51" s="47"/>
      <c r="V51" s="73"/>
    </row>
    <row r="52" spans="1:27" ht="9" customHeight="1" thickBot="1" x14ac:dyDescent="0.3"/>
    <row r="53" spans="1:27" hidden="1" x14ac:dyDescent="0.25">
      <c r="C53" s="72">
        <f>+C51/(72-6)</f>
        <v>1962.8030303030312</v>
      </c>
    </row>
    <row r="54" spans="1:27" ht="15.75" hidden="1" thickBot="1" x14ac:dyDescent="0.3"/>
    <row r="55" spans="1:27" x14ac:dyDescent="0.25">
      <c r="A55" s="278" t="s">
        <v>278</v>
      </c>
      <c r="B55" s="279"/>
      <c r="C55" s="279"/>
      <c r="D55" s="279"/>
      <c r="E55" s="279"/>
      <c r="F55" s="279"/>
      <c r="G55" s="279"/>
      <c r="H55" s="279"/>
      <c r="I55" s="279"/>
      <c r="J55" s="279"/>
      <c r="K55" s="279"/>
      <c r="L55" s="279"/>
      <c r="M55" s="279"/>
      <c r="N55" s="279"/>
      <c r="O55" s="279"/>
      <c r="P55" s="279"/>
      <c r="Q55" s="279"/>
      <c r="R55" s="279"/>
      <c r="S55" s="279"/>
      <c r="T55" s="279"/>
      <c r="U55" s="279"/>
      <c r="V55" s="280"/>
    </row>
    <row r="56" spans="1:27" x14ac:dyDescent="0.25">
      <c r="A56" s="287" t="s">
        <v>438</v>
      </c>
      <c r="B56" s="288"/>
      <c r="C56" s="288"/>
      <c r="D56" s="288"/>
      <c r="E56" s="288"/>
      <c r="F56" s="288"/>
      <c r="G56" s="288"/>
      <c r="H56" s="288"/>
      <c r="I56" s="288"/>
      <c r="J56" s="288"/>
      <c r="K56" s="288"/>
      <c r="L56" s="288"/>
      <c r="M56" s="288"/>
      <c r="N56" s="288"/>
      <c r="O56" s="288"/>
      <c r="P56" s="288"/>
      <c r="Q56" s="288"/>
      <c r="R56" s="288"/>
      <c r="S56" s="288"/>
      <c r="T56" s="288"/>
      <c r="U56" s="288"/>
      <c r="V56" s="289"/>
    </row>
    <row r="57" spans="1:27" x14ac:dyDescent="0.25">
      <c r="A57" s="287" t="s">
        <v>281</v>
      </c>
      <c r="B57" s="288"/>
      <c r="C57" s="288"/>
      <c r="D57" s="288"/>
      <c r="E57" s="288"/>
      <c r="F57" s="288"/>
      <c r="G57" s="288"/>
      <c r="H57" s="288"/>
      <c r="I57" s="288"/>
      <c r="J57" s="288"/>
      <c r="K57" s="288"/>
      <c r="L57" s="288"/>
      <c r="M57" s="288"/>
      <c r="N57" s="288"/>
      <c r="O57" s="288"/>
      <c r="P57" s="288"/>
      <c r="Q57" s="288"/>
      <c r="R57" s="288"/>
      <c r="S57" s="288"/>
      <c r="T57" s="288"/>
      <c r="U57" s="288"/>
      <c r="V57" s="289"/>
    </row>
    <row r="58" spans="1:27" ht="15.75" thickBot="1" x14ac:dyDescent="0.3">
      <c r="A58" s="447" t="s">
        <v>280</v>
      </c>
      <c r="B58" s="448"/>
      <c r="C58" s="448"/>
      <c r="D58" s="448"/>
      <c r="E58" s="448"/>
      <c r="F58" s="448"/>
      <c r="G58" s="448"/>
      <c r="H58" s="448"/>
      <c r="I58" s="448"/>
      <c r="J58" s="448"/>
      <c r="K58" s="448"/>
      <c r="L58" s="448"/>
      <c r="M58" s="448"/>
      <c r="N58" s="448"/>
      <c r="O58" s="448"/>
      <c r="P58" s="448"/>
      <c r="Q58" s="448"/>
      <c r="R58" s="448"/>
      <c r="S58" s="448"/>
      <c r="T58" s="448"/>
      <c r="U58" s="448"/>
      <c r="V58" s="449"/>
    </row>
    <row r="59" spans="1:27" ht="15.75" thickBot="1" x14ac:dyDescent="0.3">
      <c r="A59" s="290"/>
      <c r="B59" s="290"/>
      <c r="C59" s="290"/>
      <c r="D59" s="290"/>
      <c r="E59" s="290"/>
      <c r="F59" s="290"/>
      <c r="G59" s="290"/>
      <c r="H59" s="290"/>
      <c r="I59" s="290"/>
      <c r="J59" s="290"/>
      <c r="K59" s="290"/>
      <c r="L59" s="290"/>
      <c r="M59" s="290"/>
      <c r="N59" s="290"/>
      <c r="O59" s="290"/>
      <c r="P59" s="290"/>
      <c r="Q59" s="290"/>
      <c r="R59" s="290"/>
      <c r="S59" s="290"/>
      <c r="T59" s="290"/>
      <c r="U59" s="290"/>
      <c r="V59" s="290"/>
    </row>
    <row r="60" spans="1:27" s="107" customFormat="1" x14ac:dyDescent="0.25">
      <c r="A60" s="278" t="s">
        <v>223</v>
      </c>
      <c r="B60" s="279"/>
      <c r="C60" s="279"/>
      <c r="D60" s="279"/>
      <c r="E60" s="279"/>
      <c r="F60" s="279"/>
      <c r="G60" s="279"/>
      <c r="H60" s="279"/>
      <c r="I60" s="279"/>
      <c r="J60" s="279"/>
      <c r="K60" s="279"/>
      <c r="L60" s="279"/>
      <c r="M60" s="279"/>
      <c r="N60" s="279"/>
      <c r="O60" s="279"/>
      <c r="P60" s="279"/>
      <c r="Q60" s="279"/>
      <c r="R60" s="279"/>
      <c r="S60" s="279"/>
      <c r="T60" s="279"/>
      <c r="U60" s="279"/>
      <c r="V60" s="280"/>
      <c r="Z60" s="149"/>
    </row>
    <row r="61" spans="1:27" s="107" customFormat="1" x14ac:dyDescent="0.25">
      <c r="A61" s="308" t="s">
        <v>241</v>
      </c>
      <c r="B61" s="309"/>
      <c r="C61" s="309"/>
      <c r="D61" s="309"/>
      <c r="E61" s="309"/>
      <c r="F61" s="309"/>
      <c r="G61" s="309"/>
      <c r="H61" s="309"/>
      <c r="I61" s="309"/>
      <c r="J61" s="309"/>
      <c r="K61" s="309"/>
      <c r="L61" s="309"/>
      <c r="M61" s="309"/>
      <c r="N61" s="309"/>
      <c r="O61" s="309"/>
      <c r="P61" s="309"/>
      <c r="Q61" s="309"/>
      <c r="R61" s="309"/>
      <c r="S61" s="309"/>
      <c r="T61" s="309"/>
      <c r="U61" s="309"/>
      <c r="V61" s="310"/>
      <c r="Z61" s="149"/>
    </row>
    <row r="62" spans="1:27" s="107" customFormat="1" x14ac:dyDescent="0.25">
      <c r="A62" s="311"/>
      <c r="B62" s="312"/>
      <c r="C62" s="312"/>
      <c r="D62" s="312"/>
      <c r="E62" s="312"/>
      <c r="F62" s="312"/>
      <c r="G62" s="312"/>
      <c r="H62" s="312"/>
      <c r="I62" s="312"/>
      <c r="J62" s="312"/>
      <c r="K62" s="312"/>
      <c r="L62" s="312"/>
      <c r="M62" s="312"/>
      <c r="N62" s="312"/>
      <c r="O62" s="312"/>
      <c r="P62" s="312"/>
      <c r="Q62" s="312"/>
      <c r="R62" s="312"/>
      <c r="S62" s="312"/>
      <c r="T62" s="312"/>
      <c r="U62" s="312"/>
      <c r="V62" s="313"/>
      <c r="Z62" s="149"/>
    </row>
    <row r="63" spans="1:27" x14ac:dyDescent="0.25">
      <c r="A63" s="299" t="s">
        <v>207</v>
      </c>
      <c r="B63" s="300"/>
      <c r="C63" s="300"/>
      <c r="D63" s="300"/>
      <c r="E63" s="300"/>
      <c r="F63" s="300"/>
      <c r="G63" s="300"/>
      <c r="H63" s="300"/>
      <c r="I63" s="300"/>
      <c r="J63" s="300"/>
      <c r="K63" s="300"/>
      <c r="L63" s="300"/>
      <c r="M63" s="300"/>
      <c r="N63" s="300"/>
      <c r="O63" s="300"/>
      <c r="P63" s="300"/>
      <c r="Q63" s="300"/>
      <c r="R63" s="300"/>
      <c r="S63" s="300"/>
      <c r="T63" s="300"/>
      <c r="U63" s="300"/>
      <c r="V63" s="301"/>
    </row>
    <row r="64" spans="1:27" ht="48.75" customHeight="1" x14ac:dyDescent="0.25">
      <c r="A64" s="294" t="s">
        <v>240</v>
      </c>
      <c r="B64" s="295"/>
      <c r="C64" s="295"/>
      <c r="D64" s="295"/>
      <c r="E64" s="295"/>
      <c r="F64" s="295"/>
      <c r="G64" s="295"/>
      <c r="H64" s="295"/>
      <c r="I64" s="295"/>
      <c r="J64" s="295"/>
      <c r="K64" s="295"/>
      <c r="L64" s="295"/>
      <c r="M64" s="295"/>
      <c r="N64" s="295"/>
      <c r="O64" s="295"/>
      <c r="P64" s="295"/>
      <c r="Q64" s="295"/>
      <c r="R64" s="295"/>
      <c r="S64" s="295"/>
      <c r="T64" s="295"/>
      <c r="U64" s="295"/>
      <c r="V64" s="296"/>
    </row>
    <row r="65" spans="1:22" ht="32.25" customHeight="1" x14ac:dyDescent="0.25">
      <c r="A65" s="294" t="s">
        <v>230</v>
      </c>
      <c r="B65" s="297"/>
      <c r="C65" s="297"/>
      <c r="D65" s="297"/>
      <c r="E65" s="297"/>
      <c r="F65" s="297"/>
      <c r="G65" s="297"/>
      <c r="H65" s="297"/>
      <c r="I65" s="297"/>
      <c r="J65" s="297"/>
      <c r="K65" s="297"/>
      <c r="L65" s="297"/>
      <c r="M65" s="297"/>
      <c r="N65" s="297"/>
      <c r="O65" s="297"/>
      <c r="P65" s="297"/>
      <c r="Q65" s="297"/>
      <c r="R65" s="297"/>
      <c r="S65" s="297"/>
      <c r="T65" s="297"/>
      <c r="U65" s="297"/>
      <c r="V65" s="298"/>
    </row>
    <row r="66" spans="1:22" ht="113.25" customHeight="1" x14ac:dyDescent="0.25">
      <c r="A66" s="294" t="s">
        <v>209</v>
      </c>
      <c r="B66" s="295"/>
      <c r="C66" s="295"/>
      <c r="D66" s="295"/>
      <c r="E66" s="295"/>
      <c r="F66" s="295"/>
      <c r="G66" s="295"/>
      <c r="H66" s="295"/>
      <c r="I66" s="295"/>
      <c r="J66" s="295"/>
      <c r="K66" s="295"/>
      <c r="L66" s="295"/>
      <c r="M66" s="295"/>
      <c r="N66" s="295"/>
      <c r="O66" s="295"/>
      <c r="P66" s="295"/>
      <c r="Q66" s="295"/>
      <c r="R66" s="295"/>
      <c r="S66" s="295"/>
      <c r="T66" s="295"/>
      <c r="U66" s="295"/>
      <c r="V66" s="296"/>
    </row>
    <row r="67" spans="1:22" ht="18.75" customHeight="1" x14ac:dyDescent="0.25">
      <c r="A67" s="294"/>
      <c r="B67" s="297"/>
      <c r="C67" s="297"/>
      <c r="D67" s="297"/>
      <c r="E67" s="297"/>
      <c r="F67" s="297"/>
      <c r="G67" s="297"/>
      <c r="H67" s="297"/>
      <c r="I67" s="297"/>
      <c r="J67" s="297"/>
      <c r="K67" s="297"/>
      <c r="L67" s="297"/>
      <c r="M67" s="297"/>
      <c r="N67" s="297"/>
      <c r="O67" s="297"/>
      <c r="P67" s="297"/>
      <c r="Q67" s="297"/>
      <c r="R67" s="297"/>
      <c r="S67" s="297"/>
      <c r="T67" s="297"/>
      <c r="U67" s="297"/>
      <c r="V67" s="298"/>
    </row>
    <row r="68" spans="1:22" ht="33.75" customHeight="1" x14ac:dyDescent="0.25">
      <c r="A68" s="294" t="s">
        <v>244</v>
      </c>
      <c r="B68" s="297"/>
      <c r="C68" s="297"/>
      <c r="D68" s="297"/>
      <c r="E68" s="297"/>
      <c r="F68" s="297"/>
      <c r="G68" s="297"/>
      <c r="H68" s="297"/>
      <c r="I68" s="297"/>
      <c r="J68" s="297"/>
      <c r="K68" s="297"/>
      <c r="L68" s="297"/>
      <c r="M68" s="297"/>
      <c r="N68" s="297"/>
      <c r="O68" s="297"/>
      <c r="P68" s="297"/>
      <c r="Q68" s="297"/>
      <c r="R68" s="297"/>
      <c r="S68" s="297"/>
      <c r="T68" s="297"/>
      <c r="U68" s="297"/>
      <c r="V68" s="298"/>
    </row>
    <row r="69" spans="1:22" ht="30" customHeight="1" x14ac:dyDescent="0.25">
      <c r="A69" s="294" t="s">
        <v>245</v>
      </c>
      <c r="B69" s="297"/>
      <c r="C69" s="297"/>
      <c r="D69" s="297"/>
      <c r="E69" s="297"/>
      <c r="F69" s="297"/>
      <c r="G69" s="297"/>
      <c r="H69" s="297"/>
      <c r="I69" s="297"/>
      <c r="J69" s="297"/>
      <c r="K69" s="297"/>
      <c r="L69" s="297"/>
      <c r="M69" s="297"/>
      <c r="N69" s="297"/>
      <c r="O69" s="297"/>
      <c r="P69" s="297"/>
      <c r="Q69" s="297"/>
      <c r="R69" s="297"/>
      <c r="S69" s="297"/>
      <c r="T69" s="297"/>
      <c r="U69" s="297"/>
      <c r="V69" s="298"/>
    </row>
    <row r="70" spans="1:22" ht="46.5" customHeight="1" x14ac:dyDescent="0.25">
      <c r="A70" s="299" t="s">
        <v>246</v>
      </c>
      <c r="B70" s="297"/>
      <c r="C70" s="297"/>
      <c r="D70" s="297"/>
      <c r="E70" s="297"/>
      <c r="F70" s="297"/>
      <c r="G70" s="297"/>
      <c r="H70" s="297"/>
      <c r="I70" s="297"/>
      <c r="J70" s="297"/>
      <c r="K70" s="297"/>
      <c r="L70" s="297"/>
      <c r="M70" s="297"/>
      <c r="N70" s="297"/>
      <c r="O70" s="297"/>
      <c r="P70" s="297"/>
      <c r="Q70" s="297"/>
      <c r="R70" s="297"/>
      <c r="S70" s="297"/>
      <c r="T70" s="297"/>
      <c r="U70" s="297"/>
      <c r="V70" s="298"/>
    </row>
    <row r="71" spans="1:22" ht="17.25" customHeight="1" x14ac:dyDescent="0.25">
      <c r="A71" s="320"/>
      <c r="B71" s="321"/>
      <c r="C71" s="321"/>
      <c r="D71" s="321"/>
      <c r="E71" s="321"/>
      <c r="F71" s="321"/>
      <c r="G71" s="321"/>
      <c r="H71" s="321"/>
      <c r="I71" s="321"/>
      <c r="J71" s="321"/>
      <c r="K71" s="321"/>
      <c r="L71" s="321"/>
      <c r="M71" s="321"/>
      <c r="N71" s="321"/>
      <c r="O71" s="321"/>
      <c r="P71" s="321"/>
      <c r="Q71" s="321"/>
      <c r="R71" s="321"/>
      <c r="S71" s="321"/>
      <c r="T71" s="321"/>
      <c r="U71" s="321"/>
      <c r="V71" s="322"/>
    </row>
    <row r="72" spans="1:22" ht="17.25" customHeight="1" x14ac:dyDescent="0.25">
      <c r="A72" s="317" t="s">
        <v>339</v>
      </c>
      <c r="B72" s="318"/>
      <c r="C72" s="318"/>
      <c r="D72" s="318"/>
      <c r="E72" s="318"/>
      <c r="F72" s="318"/>
      <c r="G72" s="318"/>
      <c r="H72" s="318"/>
      <c r="I72" s="318"/>
      <c r="J72" s="318"/>
      <c r="K72" s="318"/>
      <c r="L72" s="318"/>
      <c r="M72" s="318"/>
      <c r="N72" s="318"/>
      <c r="O72" s="318"/>
      <c r="P72" s="318"/>
      <c r="Q72" s="318"/>
      <c r="R72" s="318"/>
      <c r="S72" s="318"/>
      <c r="T72" s="318"/>
      <c r="U72" s="318"/>
      <c r="V72" s="319"/>
    </row>
    <row r="73" spans="1:22" ht="17.25" customHeight="1" thickBot="1" x14ac:dyDescent="0.3">
      <c r="A73" s="314"/>
      <c r="B73" s="315"/>
      <c r="C73" s="315"/>
      <c r="D73" s="315"/>
      <c r="E73" s="315"/>
      <c r="F73" s="315"/>
      <c r="G73" s="315"/>
      <c r="H73" s="315"/>
      <c r="I73" s="315"/>
      <c r="J73" s="315"/>
      <c r="K73" s="315"/>
      <c r="L73" s="315"/>
      <c r="M73" s="315"/>
      <c r="N73" s="315"/>
      <c r="O73" s="315"/>
      <c r="P73" s="315"/>
      <c r="Q73" s="315"/>
      <c r="R73" s="315"/>
      <c r="S73" s="315"/>
      <c r="T73" s="315"/>
      <c r="U73" s="315"/>
      <c r="V73" s="316"/>
    </row>
  </sheetData>
  <mergeCells count="28">
    <mergeCell ref="A67:V67"/>
    <mergeCell ref="A68:V68"/>
    <mergeCell ref="A69:V69"/>
    <mergeCell ref="A70:V70"/>
    <mergeCell ref="A73:V73"/>
    <mergeCell ref="A72:V72"/>
    <mergeCell ref="A71:V71"/>
    <mergeCell ref="A66:V66"/>
    <mergeCell ref="A7:V7"/>
    <mergeCell ref="A65:V65"/>
    <mergeCell ref="A63:V63"/>
    <mergeCell ref="A64:V64"/>
    <mergeCell ref="O11:V11"/>
    <mergeCell ref="A8:V8"/>
    <mergeCell ref="A9:V9"/>
    <mergeCell ref="A61:V61"/>
    <mergeCell ref="A62:V62"/>
    <mergeCell ref="A3:V3"/>
    <mergeCell ref="A60:V60"/>
    <mergeCell ref="A4:V4"/>
    <mergeCell ref="A5:V5"/>
    <mergeCell ref="A6:V6"/>
    <mergeCell ref="A11:M11"/>
    <mergeCell ref="A55:V55"/>
    <mergeCell ref="A56:V56"/>
    <mergeCell ref="A57:V57"/>
    <mergeCell ref="A59:V59"/>
    <mergeCell ref="A58:V58"/>
  </mergeCells>
  <pageMargins left="0.70866141732283472" right="0.70866141732283472" top="0.74803149606299213" bottom="0.74803149606299213" header="0.31496062992125984" footer="0.31496062992125984"/>
  <pageSetup paperSize="8" scale="85" fitToHeight="0" orientation="landscape" cellComments="asDisplayed" r:id="rId1"/>
  <rowBreaks count="1" manualBreakCount="1">
    <brk id="52" max="21" man="1"/>
  </rowBreaks>
  <colBreaks count="1" manualBreakCount="1">
    <brk id="22"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3"/>
  <sheetViews>
    <sheetView zoomScaleNormal="100" workbookViewId="0">
      <pane ySplit="18" topLeftCell="A40" activePane="bottomLeft" state="frozen"/>
      <selection pane="bottomLeft" activeCell="C43" sqref="C43"/>
    </sheetView>
  </sheetViews>
  <sheetFormatPr defaultRowHeight="15" x14ac:dyDescent="0.25"/>
  <cols>
    <col min="1" max="1" width="6.140625" customWidth="1"/>
    <col min="2" max="2" width="8.140625" customWidth="1"/>
    <col min="3" max="4" width="10" customWidth="1"/>
    <col min="5" max="8" width="12.7109375" customWidth="1"/>
    <col min="9" max="9" width="2" customWidth="1"/>
    <col min="10" max="10" width="5.85546875" customWidth="1"/>
    <col min="11" max="14" width="12.140625" customWidth="1"/>
    <col min="15" max="15" width="3.5703125" customWidth="1"/>
    <col min="16" max="16" width="3.7109375" style="1" customWidth="1"/>
    <col min="17" max="17" width="9.7109375" style="1" bestFit="1" customWidth="1"/>
    <col min="18" max="18" width="3.28515625" customWidth="1"/>
    <col min="19" max="19" width="9.42578125" customWidth="1"/>
    <col min="20" max="20" width="6" customWidth="1"/>
    <col min="21" max="21" width="35.28515625" customWidth="1"/>
    <col min="24" max="24" width="3.42578125" customWidth="1"/>
    <col min="25" max="25" width="3.28515625" customWidth="1"/>
    <col min="26" max="26" width="8.85546875" customWidth="1"/>
    <col min="27" max="27" width="5" customWidth="1"/>
    <col min="28" max="28" width="28.42578125" customWidth="1"/>
    <col min="29" max="29" width="9.42578125" customWidth="1"/>
    <col min="30" max="30" width="3.5703125" customWidth="1"/>
    <col min="31" max="31" width="3.28515625" customWidth="1"/>
    <col min="32" max="32" width="15" customWidth="1"/>
    <col min="33" max="33" width="4.85546875" customWidth="1"/>
    <col min="34" max="34" width="36.140625" customWidth="1"/>
  </cols>
  <sheetData>
    <row r="1" spans="1:20" x14ac:dyDescent="0.25">
      <c r="A1" s="1" t="s">
        <v>129</v>
      </c>
      <c r="F1" s="22">
        <v>4.1666666666666666E-3</v>
      </c>
    </row>
    <row r="4" spans="1:20" ht="15.75" x14ac:dyDescent="0.25">
      <c r="A4" s="17" t="s">
        <v>86</v>
      </c>
    </row>
    <row r="5" spans="1:20" x14ac:dyDescent="0.25">
      <c r="A5" s="20" t="s">
        <v>158</v>
      </c>
    </row>
    <row r="6" spans="1:20" x14ac:dyDescent="0.25">
      <c r="A6" t="s">
        <v>87</v>
      </c>
    </row>
    <row r="7" spans="1:20" x14ac:dyDescent="0.25">
      <c r="A7" s="20" t="s">
        <v>90</v>
      </c>
    </row>
    <row r="8" spans="1:20" x14ac:dyDescent="0.25">
      <c r="A8" s="20" t="s">
        <v>167</v>
      </c>
    </row>
    <row r="10" spans="1:20" ht="15.75" x14ac:dyDescent="0.25">
      <c r="A10" s="21" t="s">
        <v>88</v>
      </c>
      <c r="R10" s="67"/>
      <c r="S10" s="67"/>
      <c r="T10" s="67"/>
    </row>
    <row r="11" spans="1:20" x14ac:dyDescent="0.25">
      <c r="A11" s="20" t="s">
        <v>156</v>
      </c>
    </row>
    <row r="12" spans="1:20" x14ac:dyDescent="0.25">
      <c r="A12" s="20" t="s">
        <v>89</v>
      </c>
    </row>
    <row r="13" spans="1:20" x14ac:dyDescent="0.25">
      <c r="A13" s="20" t="s">
        <v>139</v>
      </c>
    </row>
    <row r="14" spans="1:20" x14ac:dyDescent="0.25">
      <c r="A14" s="20" t="s">
        <v>91</v>
      </c>
      <c r="R14" s="68"/>
      <c r="S14" s="68"/>
      <c r="T14" s="68"/>
    </row>
    <row r="15" spans="1:20" x14ac:dyDescent="0.25">
      <c r="A15" s="20" t="s">
        <v>157</v>
      </c>
    </row>
    <row r="16" spans="1:20" x14ac:dyDescent="0.25">
      <c r="A16" s="20"/>
    </row>
    <row r="17" spans="1:35" ht="15.75" thickBot="1" x14ac:dyDescent="0.3">
      <c r="C17" s="323" t="s">
        <v>86</v>
      </c>
      <c r="D17" s="323"/>
      <c r="E17" s="323"/>
      <c r="F17" s="323"/>
      <c r="G17" s="323"/>
      <c r="H17" s="323"/>
      <c r="J17" s="323" t="s">
        <v>103</v>
      </c>
      <c r="K17" s="323"/>
      <c r="L17" s="323"/>
      <c r="M17" s="323"/>
      <c r="N17" s="323"/>
    </row>
    <row r="18" spans="1:35" s="1" customFormat="1" ht="45" customHeight="1" thickBot="1" x14ac:dyDescent="0.3">
      <c r="A18" s="24" t="s">
        <v>99</v>
      </c>
      <c r="B18" s="25" t="s">
        <v>98</v>
      </c>
      <c r="C18" s="26" t="s">
        <v>92</v>
      </c>
      <c r="D18" s="26" t="s">
        <v>93</v>
      </c>
      <c r="E18" s="26" t="s">
        <v>97</v>
      </c>
      <c r="F18" s="26" t="s">
        <v>96</v>
      </c>
      <c r="G18" s="26" t="s">
        <v>95</v>
      </c>
      <c r="H18" s="27" t="s">
        <v>94</v>
      </c>
      <c r="I18" s="25"/>
      <c r="J18" s="24"/>
      <c r="K18" s="26" t="s">
        <v>100</v>
      </c>
      <c r="L18" s="26" t="s">
        <v>101</v>
      </c>
      <c r="M18" s="26" t="s">
        <v>102</v>
      </c>
      <c r="N18" s="27" t="s">
        <v>30</v>
      </c>
      <c r="P18" s="39"/>
      <c r="Q18" s="303" t="s">
        <v>126</v>
      </c>
      <c r="R18" s="303"/>
      <c r="S18" s="303"/>
      <c r="T18" s="303"/>
      <c r="U18" s="303"/>
      <c r="V18" s="303"/>
      <c r="W18" s="303"/>
      <c r="X18" s="25"/>
      <c r="Y18" s="324" t="s">
        <v>127</v>
      </c>
      <c r="Z18" s="324"/>
      <c r="AA18" s="324"/>
      <c r="AB18" s="324"/>
      <c r="AC18" s="324"/>
      <c r="AD18" s="26"/>
      <c r="AE18" s="325" t="s">
        <v>128</v>
      </c>
      <c r="AF18" s="325"/>
      <c r="AG18" s="325"/>
      <c r="AH18" s="325"/>
      <c r="AI18" s="326"/>
    </row>
    <row r="19" spans="1:35" x14ac:dyDescent="0.25">
      <c r="A19" s="28"/>
      <c r="B19" s="29"/>
      <c r="C19" s="29"/>
      <c r="D19" s="29"/>
      <c r="E19" s="29"/>
      <c r="F19" s="30">
        <f>+D93</f>
        <v>450538.51384377939</v>
      </c>
      <c r="G19" s="29"/>
      <c r="H19" s="34">
        <f>+D93</f>
        <v>450538.51384377939</v>
      </c>
      <c r="I19" s="29"/>
      <c r="J19" s="28"/>
      <c r="K19" s="31"/>
      <c r="L19" s="31"/>
      <c r="M19" s="31"/>
      <c r="N19" s="32"/>
      <c r="P19" s="39" t="s">
        <v>109</v>
      </c>
      <c r="Q19" s="59">
        <v>43647</v>
      </c>
      <c r="R19" s="51" t="s">
        <v>0</v>
      </c>
      <c r="S19" s="51" t="s">
        <v>163</v>
      </c>
      <c r="T19" s="51"/>
      <c r="U19" s="51" t="s">
        <v>146</v>
      </c>
      <c r="V19" s="51"/>
      <c r="W19" s="52">
        <f>+F19</f>
        <v>450538.51384377939</v>
      </c>
      <c r="X19" s="53"/>
      <c r="Y19" s="54"/>
      <c r="Z19" s="54"/>
      <c r="AA19" s="54"/>
      <c r="AB19" s="54"/>
      <c r="AC19" s="54"/>
      <c r="AD19" s="53"/>
      <c r="AE19" s="55"/>
      <c r="AF19" s="55"/>
      <c r="AG19" s="55"/>
      <c r="AH19" s="55"/>
      <c r="AI19" s="56"/>
    </row>
    <row r="20" spans="1:35" x14ac:dyDescent="0.25">
      <c r="A20" s="28">
        <v>0</v>
      </c>
      <c r="B20" s="33">
        <v>43647</v>
      </c>
      <c r="C20" s="31">
        <f>150000/12</f>
        <v>12500</v>
      </c>
      <c r="D20" s="31">
        <f t="shared" ref="D20:D43" si="0">+C20/(1+F$1)^A20</f>
        <v>12500</v>
      </c>
      <c r="E20" s="31">
        <f>+F$19/72</f>
        <v>6257.4793589413803</v>
      </c>
      <c r="F20" s="31">
        <f>+F19-E20</f>
        <v>444281.03448483802</v>
      </c>
      <c r="G20" s="31">
        <f t="shared" ref="G20:G43" si="1">+(H19-C20)*F$1</f>
        <v>1825.1604743490807</v>
      </c>
      <c r="H20" s="32">
        <f>+H19-C20+G20</f>
        <v>439863.6743181285</v>
      </c>
      <c r="I20" s="29"/>
      <c r="J20" s="28"/>
      <c r="K20" s="31"/>
      <c r="L20" s="31"/>
      <c r="M20" s="31"/>
      <c r="N20" s="32"/>
      <c r="P20" s="60"/>
      <c r="Q20" s="61"/>
      <c r="R20" s="40" t="s">
        <v>1</v>
      </c>
      <c r="S20" s="40">
        <v>3240008</v>
      </c>
      <c r="T20" s="40"/>
      <c r="U20" s="40" t="s">
        <v>104</v>
      </c>
      <c r="V20" s="40"/>
      <c r="W20" s="41">
        <f>-H19</f>
        <v>-450538.51384377939</v>
      </c>
      <c r="X20" s="29"/>
      <c r="Y20" s="42"/>
      <c r="Z20" s="42"/>
      <c r="AA20" s="42"/>
      <c r="AB20" s="42"/>
      <c r="AC20" s="42"/>
      <c r="AD20" s="29"/>
      <c r="AE20" s="43"/>
      <c r="AF20" s="43"/>
      <c r="AG20" s="43"/>
      <c r="AH20" s="43"/>
      <c r="AI20" s="44"/>
    </row>
    <row r="21" spans="1:35" x14ac:dyDescent="0.25">
      <c r="A21" s="28">
        <v>1</v>
      </c>
      <c r="B21" s="33">
        <v>43678</v>
      </c>
      <c r="C21" s="31">
        <f t="shared" ref="C21:C43" si="2">150000/12</f>
        <v>12500</v>
      </c>
      <c r="D21" s="31">
        <f t="shared" si="0"/>
        <v>12448.132780082988</v>
      </c>
      <c r="E21" s="31">
        <f t="shared" ref="E21:E85" si="3">+F$19/72</f>
        <v>6257.4793589413803</v>
      </c>
      <c r="F21" s="31">
        <f t="shared" ref="F21:F84" si="4">+F20-E21</f>
        <v>438023.55512589664</v>
      </c>
      <c r="G21" s="31">
        <f t="shared" si="1"/>
        <v>1780.6819763255353</v>
      </c>
      <c r="H21" s="32">
        <f t="shared" ref="H21:H84" si="5">+H20-C21+G21</f>
        <v>429144.35629445402</v>
      </c>
      <c r="I21" s="29"/>
      <c r="J21" s="28"/>
      <c r="K21" s="31"/>
      <c r="L21" s="31"/>
      <c r="M21" s="31"/>
      <c r="N21" s="32"/>
      <c r="P21" s="60"/>
      <c r="Q21" s="61"/>
      <c r="R21" s="40" t="s">
        <v>130</v>
      </c>
      <c r="S21" s="40"/>
      <c r="T21" s="40"/>
      <c r="U21" s="40"/>
      <c r="V21" s="40"/>
      <c r="W21" s="40"/>
      <c r="X21" s="29"/>
      <c r="Y21" s="42"/>
      <c r="Z21" s="42"/>
      <c r="AA21" s="42"/>
      <c r="AB21" s="42"/>
      <c r="AC21" s="42"/>
      <c r="AD21" s="29"/>
      <c r="AE21" s="43"/>
      <c r="AF21" s="43"/>
      <c r="AG21" s="43"/>
      <c r="AH21" s="43"/>
      <c r="AI21" s="44"/>
    </row>
    <row r="22" spans="1:35" ht="15.75" thickBot="1" x14ac:dyDescent="0.3">
      <c r="A22" s="28">
        <v>2</v>
      </c>
      <c r="B22" s="33">
        <v>43709</v>
      </c>
      <c r="C22" s="31">
        <f t="shared" si="2"/>
        <v>12500</v>
      </c>
      <c r="D22" s="31">
        <f t="shared" si="0"/>
        <v>12396.480776846129</v>
      </c>
      <c r="E22" s="31">
        <f t="shared" si="3"/>
        <v>6257.4793589413803</v>
      </c>
      <c r="F22" s="31">
        <f t="shared" si="4"/>
        <v>431766.07576695527</v>
      </c>
      <c r="G22" s="31">
        <f t="shared" si="1"/>
        <v>1736.0181512268916</v>
      </c>
      <c r="H22" s="32">
        <f t="shared" si="5"/>
        <v>418380.37444568094</v>
      </c>
      <c r="I22" s="29"/>
      <c r="J22" s="28"/>
      <c r="K22" s="31"/>
      <c r="L22" s="31"/>
      <c r="M22" s="31"/>
      <c r="N22" s="32"/>
      <c r="P22" s="62"/>
      <c r="Q22" s="63"/>
      <c r="R22" s="47"/>
      <c r="S22" s="47"/>
      <c r="T22" s="47"/>
      <c r="U22" s="47"/>
      <c r="V22" s="47"/>
      <c r="W22" s="47"/>
      <c r="X22" s="36"/>
      <c r="Y22" s="48"/>
      <c r="Z22" s="48"/>
      <c r="AA22" s="48"/>
      <c r="AB22" s="48"/>
      <c r="AC22" s="48"/>
      <c r="AD22" s="36"/>
      <c r="AE22" s="49"/>
      <c r="AF22" s="49"/>
      <c r="AG22" s="49"/>
      <c r="AH22" s="49"/>
      <c r="AI22" s="50"/>
    </row>
    <row r="23" spans="1:35" x14ac:dyDescent="0.25">
      <c r="A23" s="28">
        <v>3</v>
      </c>
      <c r="B23" s="33">
        <v>43739</v>
      </c>
      <c r="C23" s="31">
        <f t="shared" si="2"/>
        <v>12500</v>
      </c>
      <c r="D23" s="31">
        <f t="shared" si="0"/>
        <v>12345.043097274152</v>
      </c>
      <c r="E23" s="31">
        <f t="shared" si="3"/>
        <v>6257.4793589413803</v>
      </c>
      <c r="F23" s="31">
        <f t="shared" si="4"/>
        <v>425508.59640801389</v>
      </c>
      <c r="G23" s="31">
        <f t="shared" si="1"/>
        <v>1691.1682268570039</v>
      </c>
      <c r="H23" s="32">
        <f t="shared" si="5"/>
        <v>407571.54267253797</v>
      </c>
      <c r="I23" s="29"/>
      <c r="J23" s="28"/>
      <c r="K23" s="31"/>
      <c r="L23" s="31"/>
      <c r="M23" s="31"/>
      <c r="N23" s="32"/>
      <c r="P23" s="60" t="s">
        <v>110</v>
      </c>
      <c r="Q23" s="61" t="s">
        <v>32</v>
      </c>
      <c r="R23" s="40" t="s">
        <v>0</v>
      </c>
      <c r="S23" s="40">
        <v>2241000</v>
      </c>
      <c r="T23" s="40"/>
      <c r="U23" s="40" t="s">
        <v>143</v>
      </c>
      <c r="V23" s="40"/>
      <c r="W23" s="41">
        <f>SUM(E20:E31)</f>
        <v>75089.752307296571</v>
      </c>
      <c r="X23" s="29"/>
      <c r="Y23" s="42"/>
      <c r="Z23" s="42"/>
      <c r="AA23" s="42"/>
      <c r="AB23" s="42"/>
      <c r="AC23" s="42"/>
      <c r="AD23" s="29"/>
      <c r="AE23" s="43"/>
      <c r="AF23" s="43"/>
      <c r="AG23" s="43"/>
      <c r="AH23" s="43"/>
      <c r="AI23" s="44"/>
    </row>
    <row r="24" spans="1:35" x14ac:dyDescent="0.25">
      <c r="A24" s="28">
        <v>4</v>
      </c>
      <c r="B24" s="33">
        <v>43770</v>
      </c>
      <c r="C24" s="31">
        <f t="shared" si="2"/>
        <v>12500</v>
      </c>
      <c r="D24" s="31">
        <f t="shared" si="0"/>
        <v>12293.818852057248</v>
      </c>
      <c r="E24" s="31">
        <f t="shared" si="3"/>
        <v>6257.4793589413803</v>
      </c>
      <c r="F24" s="31">
        <f t="shared" si="4"/>
        <v>419251.11704907252</v>
      </c>
      <c r="G24" s="31">
        <f t="shared" si="1"/>
        <v>1646.1314278022414</v>
      </c>
      <c r="H24" s="32">
        <f t="shared" si="5"/>
        <v>396717.67410034023</v>
      </c>
      <c r="I24" s="29"/>
      <c r="J24" s="28"/>
      <c r="K24" s="31"/>
      <c r="L24" s="31"/>
      <c r="M24" s="31"/>
      <c r="N24" s="32"/>
      <c r="P24" s="60"/>
      <c r="Q24" s="61"/>
      <c r="R24" s="40" t="s">
        <v>1</v>
      </c>
      <c r="S24" s="40" t="s">
        <v>164</v>
      </c>
      <c r="T24" s="40"/>
      <c r="U24" s="40" t="s">
        <v>105</v>
      </c>
      <c r="V24" s="40"/>
      <c r="W24" s="41">
        <f>-W23</f>
        <v>-75089.752307296571</v>
      </c>
      <c r="X24" s="29"/>
      <c r="Y24" s="42"/>
      <c r="Z24" s="42"/>
      <c r="AA24" s="42"/>
      <c r="AB24" s="42"/>
      <c r="AC24" s="42"/>
      <c r="AD24" s="29"/>
      <c r="AE24" s="43"/>
      <c r="AF24" s="43"/>
      <c r="AG24" s="43"/>
      <c r="AH24" s="43"/>
      <c r="AI24" s="44"/>
    </row>
    <row r="25" spans="1:35" x14ac:dyDescent="0.25">
      <c r="A25" s="28">
        <v>5</v>
      </c>
      <c r="B25" s="33">
        <v>43800</v>
      </c>
      <c r="C25" s="31">
        <f t="shared" si="2"/>
        <v>12500</v>
      </c>
      <c r="D25" s="31">
        <f t="shared" si="0"/>
        <v>12242.807155575681</v>
      </c>
      <c r="E25" s="31">
        <f t="shared" si="3"/>
        <v>6257.4793589413803</v>
      </c>
      <c r="F25" s="31">
        <f t="shared" si="4"/>
        <v>412993.63769013115</v>
      </c>
      <c r="G25" s="31">
        <f t="shared" si="1"/>
        <v>1600.9069754180844</v>
      </c>
      <c r="H25" s="32">
        <f t="shared" si="5"/>
        <v>385818.58107575832</v>
      </c>
      <c r="I25" s="29"/>
      <c r="J25" s="28"/>
      <c r="K25" s="31"/>
      <c r="L25" s="31"/>
      <c r="M25" s="31"/>
      <c r="N25" s="32"/>
      <c r="P25" s="60"/>
      <c r="Q25" s="61"/>
      <c r="R25" s="40" t="s">
        <v>124</v>
      </c>
      <c r="S25" s="40"/>
      <c r="T25" s="40"/>
      <c r="U25" s="40"/>
      <c r="V25" s="40"/>
      <c r="W25" s="40"/>
      <c r="X25" s="29"/>
      <c r="Y25" s="42"/>
      <c r="Z25" s="42"/>
      <c r="AA25" s="42"/>
      <c r="AB25" s="42"/>
      <c r="AC25" s="42"/>
      <c r="AD25" s="29"/>
      <c r="AE25" s="43"/>
      <c r="AF25" s="43"/>
      <c r="AG25" s="43"/>
      <c r="AH25" s="43"/>
      <c r="AI25" s="44"/>
    </row>
    <row r="26" spans="1:35" x14ac:dyDescent="0.25">
      <c r="A26" s="28">
        <v>6</v>
      </c>
      <c r="B26" s="33">
        <v>43831</v>
      </c>
      <c r="C26" s="31">
        <f t="shared" si="2"/>
        <v>12500</v>
      </c>
      <c r="D26" s="31">
        <f t="shared" si="0"/>
        <v>12192.007125884496</v>
      </c>
      <c r="E26" s="31">
        <f t="shared" si="3"/>
        <v>6257.4793589413803</v>
      </c>
      <c r="F26" s="31">
        <f t="shared" si="4"/>
        <v>406736.15833118977</v>
      </c>
      <c r="G26" s="31">
        <f t="shared" si="1"/>
        <v>1555.4940878156597</v>
      </c>
      <c r="H26" s="32">
        <f t="shared" si="5"/>
        <v>374874.07516357396</v>
      </c>
      <c r="I26" s="29"/>
      <c r="J26" s="28"/>
      <c r="K26" s="31"/>
      <c r="L26" s="31"/>
      <c r="M26" s="31"/>
      <c r="N26" s="32"/>
      <c r="P26" s="60"/>
      <c r="Q26" s="61"/>
      <c r="R26" s="40"/>
      <c r="S26" s="40"/>
      <c r="T26" s="40"/>
      <c r="U26" s="40"/>
      <c r="V26" s="40"/>
      <c r="W26" s="40"/>
      <c r="X26" s="29"/>
      <c r="Y26" s="42"/>
      <c r="Z26" s="42"/>
      <c r="AA26" s="42"/>
      <c r="AB26" s="42"/>
      <c r="AC26" s="42"/>
      <c r="AD26" s="29"/>
      <c r="AE26" s="43"/>
      <c r="AF26" s="43"/>
      <c r="AG26" s="43"/>
      <c r="AH26" s="43"/>
      <c r="AI26" s="44"/>
    </row>
    <row r="27" spans="1:35" x14ac:dyDescent="0.25">
      <c r="A27" s="28">
        <v>7</v>
      </c>
      <c r="B27" s="33">
        <v>43862</v>
      </c>
      <c r="C27" s="31">
        <f t="shared" si="2"/>
        <v>12500</v>
      </c>
      <c r="D27" s="31">
        <f t="shared" si="0"/>
        <v>12141.41788469825</v>
      </c>
      <c r="E27" s="31">
        <f t="shared" si="3"/>
        <v>6257.4793589413803</v>
      </c>
      <c r="F27" s="31">
        <f t="shared" si="4"/>
        <v>400478.6789722484</v>
      </c>
      <c r="G27" s="31">
        <f t="shared" si="1"/>
        <v>1509.8919798482248</v>
      </c>
      <c r="H27" s="32">
        <f t="shared" si="5"/>
        <v>363883.96714342217</v>
      </c>
      <c r="I27" s="29"/>
      <c r="J27" s="28"/>
      <c r="K27" s="31"/>
      <c r="L27" s="31"/>
      <c r="M27" s="31"/>
      <c r="N27" s="32"/>
      <c r="P27" s="60" t="s">
        <v>111</v>
      </c>
      <c r="Q27" s="61" t="s">
        <v>32</v>
      </c>
      <c r="R27" s="40" t="s">
        <v>0</v>
      </c>
      <c r="S27" s="40">
        <v>3240008</v>
      </c>
      <c r="T27" s="40"/>
      <c r="U27" s="40" t="s">
        <v>104</v>
      </c>
      <c r="V27" s="40"/>
      <c r="W27" s="41">
        <f>-W29-W28</f>
        <v>131074.81193165795</v>
      </c>
      <c r="X27" s="29"/>
      <c r="Y27" s="42"/>
      <c r="Z27" s="42"/>
      <c r="AA27" s="42"/>
      <c r="AB27" s="42"/>
      <c r="AC27" s="42"/>
      <c r="AD27" s="29"/>
      <c r="AE27" s="43"/>
      <c r="AF27" s="43"/>
      <c r="AG27" s="43"/>
      <c r="AH27" s="43"/>
      <c r="AI27" s="44"/>
    </row>
    <row r="28" spans="1:35" x14ac:dyDescent="0.25">
      <c r="A28" s="28">
        <v>8</v>
      </c>
      <c r="B28" s="33">
        <v>43891</v>
      </c>
      <c r="C28" s="31">
        <f t="shared" si="2"/>
        <v>12500</v>
      </c>
      <c r="D28" s="31">
        <f t="shared" si="0"/>
        <v>12091.038557375854</v>
      </c>
      <c r="E28" s="31">
        <f t="shared" si="3"/>
        <v>6257.4793589413803</v>
      </c>
      <c r="F28" s="31">
        <f t="shared" si="4"/>
        <v>394221.19961330702</v>
      </c>
      <c r="G28" s="31">
        <f t="shared" si="1"/>
        <v>1464.0998630975923</v>
      </c>
      <c r="H28" s="32">
        <f t="shared" si="5"/>
        <v>352848.06700651976</v>
      </c>
      <c r="I28" s="29"/>
      <c r="J28" s="28"/>
      <c r="K28" s="31"/>
      <c r="L28" s="31"/>
      <c r="M28" s="31"/>
      <c r="N28" s="32"/>
      <c r="P28" s="60"/>
      <c r="Q28" s="61"/>
      <c r="R28" s="40" t="s">
        <v>0</v>
      </c>
      <c r="S28" s="40">
        <v>2422020</v>
      </c>
      <c r="T28" s="40"/>
      <c r="U28" s="40" t="s">
        <v>161</v>
      </c>
      <c r="V28" s="40"/>
      <c r="W28" s="41">
        <f>SUM(G20:G31)</f>
        <v>18925.188068342046</v>
      </c>
      <c r="X28" s="29"/>
      <c r="Y28" s="42"/>
      <c r="Z28" s="42"/>
      <c r="AA28" s="42"/>
      <c r="AB28" s="42"/>
      <c r="AC28" s="42"/>
      <c r="AD28" s="29"/>
      <c r="AE28" s="43"/>
      <c r="AF28" s="43"/>
      <c r="AG28" s="43"/>
      <c r="AH28" s="43"/>
      <c r="AI28" s="44"/>
    </row>
    <row r="29" spans="1:35" x14ac:dyDescent="0.25">
      <c r="A29" s="28">
        <v>9</v>
      </c>
      <c r="B29" s="33">
        <v>43922</v>
      </c>
      <c r="C29" s="31">
        <f t="shared" si="2"/>
        <v>12500</v>
      </c>
      <c r="D29" s="31">
        <f t="shared" si="0"/>
        <v>12040.868272905414</v>
      </c>
      <c r="E29" s="31">
        <f t="shared" si="3"/>
        <v>6257.4793589413803</v>
      </c>
      <c r="F29" s="31">
        <f t="shared" si="4"/>
        <v>387963.72025436565</v>
      </c>
      <c r="G29" s="31">
        <f t="shared" si="1"/>
        <v>1418.1169458604991</v>
      </c>
      <c r="H29" s="32">
        <f t="shared" si="5"/>
        <v>341766.18395238026</v>
      </c>
      <c r="I29" s="29"/>
      <c r="J29" s="28"/>
      <c r="K29" s="31"/>
      <c r="L29" s="31"/>
      <c r="M29" s="31"/>
      <c r="N29" s="32"/>
      <c r="P29" s="60"/>
      <c r="Q29" s="61"/>
      <c r="R29" s="40" t="s">
        <v>1</v>
      </c>
      <c r="S29" s="40"/>
      <c r="T29" s="40"/>
      <c r="U29" s="40" t="s">
        <v>31</v>
      </c>
      <c r="V29" s="40"/>
      <c r="W29" s="41">
        <f>-SUM(C20:C31)</f>
        <v>-150000</v>
      </c>
      <c r="X29" s="29"/>
      <c r="Y29" s="42"/>
      <c r="Z29" s="42"/>
      <c r="AA29" s="42"/>
      <c r="AB29" s="42"/>
      <c r="AC29" s="42"/>
      <c r="AD29" s="29"/>
      <c r="AE29" s="43"/>
      <c r="AF29" s="43"/>
      <c r="AG29" s="43"/>
      <c r="AH29" s="43"/>
      <c r="AI29" s="44"/>
    </row>
    <row r="30" spans="1:35" x14ac:dyDescent="0.25">
      <c r="A30" s="28">
        <v>10</v>
      </c>
      <c r="B30" s="33">
        <v>43952</v>
      </c>
      <c r="C30" s="31">
        <f t="shared" si="2"/>
        <v>12500</v>
      </c>
      <c r="D30" s="31">
        <f t="shared" si="0"/>
        <v>11990.906163889209</v>
      </c>
      <c r="E30" s="31">
        <f t="shared" si="3"/>
        <v>6257.4793589413803</v>
      </c>
      <c r="F30" s="31">
        <f t="shared" si="4"/>
        <v>381706.24089542427</v>
      </c>
      <c r="G30" s="31">
        <f t="shared" si="1"/>
        <v>1371.9424331349178</v>
      </c>
      <c r="H30" s="32">
        <f t="shared" si="5"/>
        <v>330638.12638551521</v>
      </c>
      <c r="I30" s="29"/>
      <c r="J30" s="28"/>
      <c r="K30" s="31"/>
      <c r="L30" s="31"/>
      <c r="M30" s="31"/>
      <c r="N30" s="32"/>
      <c r="P30" s="60"/>
      <c r="Q30" s="61"/>
      <c r="R30" s="40" t="s">
        <v>131</v>
      </c>
      <c r="S30" s="40"/>
      <c r="T30" s="40"/>
      <c r="U30" s="40"/>
      <c r="V30" s="40"/>
      <c r="W30" s="40"/>
      <c r="X30" s="29"/>
      <c r="Y30" s="42"/>
      <c r="Z30" s="42"/>
      <c r="AA30" s="42"/>
      <c r="AB30" s="42"/>
      <c r="AC30" s="42"/>
      <c r="AD30" s="29"/>
      <c r="AE30" s="43"/>
      <c r="AF30" s="43"/>
      <c r="AG30" s="43"/>
      <c r="AH30" s="43"/>
      <c r="AI30" s="44"/>
    </row>
    <row r="31" spans="1:35" ht="15.75" thickBot="1" x14ac:dyDescent="0.3">
      <c r="A31" s="28">
        <v>11</v>
      </c>
      <c r="B31" s="33">
        <v>43983</v>
      </c>
      <c r="C31" s="31">
        <f t="shared" si="2"/>
        <v>12500</v>
      </c>
      <c r="D31" s="31">
        <f t="shared" si="0"/>
        <v>11941.151366528673</v>
      </c>
      <c r="E31" s="31">
        <f t="shared" si="3"/>
        <v>6257.4793589413803</v>
      </c>
      <c r="F31" s="31">
        <f t="shared" si="4"/>
        <v>375448.7615364829</v>
      </c>
      <c r="G31" s="31">
        <f t="shared" si="1"/>
        <v>1325.5755266063134</v>
      </c>
      <c r="H31" s="32">
        <f t="shared" si="5"/>
        <v>319463.7019121215</v>
      </c>
      <c r="I31" s="29"/>
      <c r="J31" s="28"/>
      <c r="K31" s="31"/>
      <c r="L31" s="31"/>
      <c r="M31" s="31"/>
      <c r="N31" s="32"/>
      <c r="P31" s="60"/>
      <c r="Q31" s="61"/>
      <c r="R31" s="40"/>
      <c r="S31" s="40"/>
      <c r="T31" s="40"/>
      <c r="U31" s="40"/>
      <c r="V31" s="40"/>
      <c r="W31" s="40"/>
      <c r="X31" s="29"/>
      <c r="Y31" s="42"/>
      <c r="Z31" s="42"/>
      <c r="AA31" s="42"/>
      <c r="AB31" s="42"/>
      <c r="AC31" s="42"/>
      <c r="AD31" s="29"/>
      <c r="AE31" s="43"/>
      <c r="AF31" s="43"/>
      <c r="AG31" s="43"/>
      <c r="AH31" s="43"/>
      <c r="AI31" s="44"/>
    </row>
    <row r="32" spans="1:35" x14ac:dyDescent="0.25">
      <c r="A32" s="28">
        <v>12</v>
      </c>
      <c r="B32" s="33">
        <v>44013</v>
      </c>
      <c r="C32" s="31">
        <f t="shared" si="2"/>
        <v>12500</v>
      </c>
      <c r="D32" s="31">
        <f t="shared" si="0"/>
        <v>11891.603020609466</v>
      </c>
      <c r="E32" s="31">
        <f t="shared" si="3"/>
        <v>6257.4793589413803</v>
      </c>
      <c r="F32" s="31">
        <f t="shared" si="4"/>
        <v>369191.28217754152</v>
      </c>
      <c r="G32" s="31">
        <f t="shared" si="1"/>
        <v>1279.0154246338395</v>
      </c>
      <c r="H32" s="32">
        <f t="shared" si="5"/>
        <v>308242.71733675536</v>
      </c>
      <c r="I32" s="29"/>
      <c r="J32" s="28"/>
      <c r="K32" s="31"/>
      <c r="L32" s="31"/>
      <c r="M32" s="31"/>
      <c r="N32" s="32"/>
      <c r="P32" s="39" t="s">
        <v>112</v>
      </c>
      <c r="Q32" s="64" t="s">
        <v>106</v>
      </c>
      <c r="R32" s="51" t="s">
        <v>0</v>
      </c>
      <c r="S32" s="51">
        <v>2241000</v>
      </c>
      <c r="T32" s="51"/>
      <c r="U32" s="51" t="s">
        <v>143</v>
      </c>
      <c r="V32" s="51"/>
      <c r="W32" s="52">
        <f>SUM(E32:E43)</f>
        <v>75089.752307296571</v>
      </c>
      <c r="X32" s="53"/>
      <c r="Y32" s="54"/>
      <c r="Z32" s="54"/>
      <c r="AA32" s="54"/>
      <c r="AB32" s="54"/>
      <c r="AC32" s="54"/>
      <c r="AD32" s="53"/>
      <c r="AE32" s="55"/>
      <c r="AF32" s="55"/>
      <c r="AG32" s="55"/>
      <c r="AH32" s="55"/>
      <c r="AI32" s="56"/>
    </row>
    <row r="33" spans="1:35" x14ac:dyDescent="0.25">
      <c r="A33" s="28">
        <v>13</v>
      </c>
      <c r="B33" s="33">
        <v>44044</v>
      </c>
      <c r="C33" s="31">
        <f t="shared" si="2"/>
        <v>12500</v>
      </c>
      <c r="D33" s="31">
        <f t="shared" si="0"/>
        <v>11842.260269486607</v>
      </c>
      <c r="E33" s="31">
        <f t="shared" si="3"/>
        <v>6257.4793589413803</v>
      </c>
      <c r="F33" s="31">
        <f t="shared" si="4"/>
        <v>362933.80281860015</v>
      </c>
      <c r="G33" s="31">
        <f t="shared" si="1"/>
        <v>1232.2613222364807</v>
      </c>
      <c r="H33" s="32">
        <f t="shared" si="5"/>
        <v>296974.97865899187</v>
      </c>
      <c r="I33" s="29"/>
      <c r="J33" s="28"/>
      <c r="K33" s="31"/>
      <c r="L33" s="31"/>
      <c r="M33" s="31"/>
      <c r="N33" s="32"/>
      <c r="P33" s="60"/>
      <c r="Q33" s="61"/>
      <c r="R33" s="40" t="s">
        <v>1</v>
      </c>
      <c r="S33" s="40" t="s">
        <v>164</v>
      </c>
      <c r="T33" s="40"/>
      <c r="U33" s="40" t="s">
        <v>105</v>
      </c>
      <c r="V33" s="40"/>
      <c r="W33" s="41">
        <f>-W32</f>
        <v>-75089.752307296571</v>
      </c>
      <c r="X33" s="29"/>
      <c r="Y33" s="42"/>
      <c r="Z33" s="42"/>
      <c r="AA33" s="42"/>
      <c r="AB33" s="42"/>
      <c r="AC33" s="42"/>
      <c r="AD33" s="29"/>
      <c r="AE33" s="43"/>
      <c r="AF33" s="43"/>
      <c r="AG33" s="43"/>
      <c r="AH33" s="43"/>
      <c r="AI33" s="44"/>
    </row>
    <row r="34" spans="1:35" x14ac:dyDescent="0.25">
      <c r="A34" s="28">
        <v>14</v>
      </c>
      <c r="B34" s="33">
        <v>44075</v>
      </c>
      <c r="C34" s="31">
        <f t="shared" si="2"/>
        <v>12500</v>
      </c>
      <c r="D34" s="31">
        <f t="shared" si="0"/>
        <v>11793.122260069649</v>
      </c>
      <c r="E34" s="31">
        <f t="shared" si="3"/>
        <v>6257.4793589413803</v>
      </c>
      <c r="F34" s="31">
        <f t="shared" si="4"/>
        <v>356676.32345965877</v>
      </c>
      <c r="G34" s="31">
        <f t="shared" si="1"/>
        <v>1185.3124110791327</v>
      </c>
      <c r="H34" s="32">
        <f t="shared" si="5"/>
        <v>285660.29107007099</v>
      </c>
      <c r="I34" s="29"/>
      <c r="J34" s="28"/>
      <c r="K34" s="31"/>
      <c r="L34" s="31"/>
      <c r="M34" s="31"/>
      <c r="N34" s="32"/>
      <c r="P34" s="60"/>
      <c r="Q34" s="61"/>
      <c r="R34" s="40" t="s">
        <v>125</v>
      </c>
      <c r="S34" s="40"/>
      <c r="T34" s="40"/>
      <c r="U34" s="40"/>
      <c r="V34" s="40"/>
      <c r="W34" s="40"/>
      <c r="X34" s="29"/>
      <c r="Y34" s="42"/>
      <c r="Z34" s="42"/>
      <c r="AA34" s="42"/>
      <c r="AB34" s="42"/>
      <c r="AC34" s="42"/>
      <c r="AD34" s="29"/>
      <c r="AE34" s="43"/>
      <c r="AF34" s="43"/>
      <c r="AG34" s="43"/>
      <c r="AH34" s="43"/>
      <c r="AI34" s="44"/>
    </row>
    <row r="35" spans="1:35" x14ac:dyDescent="0.25">
      <c r="A35" s="28">
        <v>15</v>
      </c>
      <c r="B35" s="33">
        <v>44105</v>
      </c>
      <c r="C35" s="31">
        <f t="shared" si="2"/>
        <v>12500</v>
      </c>
      <c r="D35" s="31">
        <f t="shared" si="0"/>
        <v>11744.188142807945</v>
      </c>
      <c r="E35" s="31">
        <f t="shared" si="3"/>
        <v>6257.4793589413803</v>
      </c>
      <c r="F35" s="31">
        <f t="shared" si="4"/>
        <v>350418.8441007174</v>
      </c>
      <c r="G35" s="31">
        <f t="shared" si="1"/>
        <v>1138.1678794586292</v>
      </c>
      <c r="H35" s="32">
        <f t="shared" si="5"/>
        <v>274298.45894952962</v>
      </c>
      <c r="I35" s="29"/>
      <c r="J35" s="28"/>
      <c r="K35" s="31"/>
      <c r="L35" s="31"/>
      <c r="M35" s="31"/>
      <c r="N35" s="32"/>
      <c r="P35" s="60"/>
      <c r="Q35" s="61"/>
      <c r="R35" s="40"/>
      <c r="S35" s="40"/>
      <c r="T35" s="40"/>
      <c r="U35" s="40"/>
      <c r="V35" s="40"/>
      <c r="W35" s="40"/>
      <c r="X35" s="29"/>
      <c r="Y35" s="42"/>
      <c r="Z35" s="42"/>
      <c r="AA35" s="42"/>
      <c r="AB35" s="42"/>
      <c r="AC35" s="42"/>
      <c r="AD35" s="29"/>
      <c r="AE35" s="43"/>
      <c r="AF35" s="43"/>
      <c r="AG35" s="43"/>
      <c r="AH35" s="43"/>
      <c r="AI35" s="44"/>
    </row>
    <row r="36" spans="1:35" x14ac:dyDescent="0.25">
      <c r="A36" s="28">
        <v>16</v>
      </c>
      <c r="B36" s="33">
        <v>44136</v>
      </c>
      <c r="C36" s="31">
        <f t="shared" si="2"/>
        <v>12500</v>
      </c>
      <c r="D36" s="31">
        <f t="shared" si="0"/>
        <v>11695.457071675964</v>
      </c>
      <c r="E36" s="31">
        <f t="shared" si="3"/>
        <v>6257.4793589413803</v>
      </c>
      <c r="F36" s="31">
        <f t="shared" si="4"/>
        <v>344161.36474177602</v>
      </c>
      <c r="G36" s="31">
        <f t="shared" si="1"/>
        <v>1090.8269122897068</v>
      </c>
      <c r="H36" s="32">
        <f t="shared" si="5"/>
        <v>262889.28586181934</v>
      </c>
      <c r="I36" s="29"/>
      <c r="J36" s="28"/>
      <c r="K36" s="31"/>
      <c r="L36" s="31"/>
      <c r="M36" s="31"/>
      <c r="N36" s="32"/>
      <c r="P36" s="65" t="s">
        <v>113</v>
      </c>
      <c r="Q36" s="61" t="s">
        <v>106</v>
      </c>
      <c r="R36" s="40" t="s">
        <v>0</v>
      </c>
      <c r="S36" s="40">
        <v>3240008</v>
      </c>
      <c r="T36" s="40"/>
      <c r="U36" s="40" t="s">
        <v>104</v>
      </c>
      <c r="V36" s="40"/>
      <c r="W36" s="41">
        <f>-W38-W37</f>
        <v>137780.84807457283</v>
      </c>
      <c r="X36" s="29"/>
      <c r="Y36" s="42"/>
      <c r="Z36" s="42"/>
      <c r="AA36" s="42"/>
      <c r="AB36" s="42"/>
      <c r="AC36" s="42"/>
      <c r="AD36" s="29"/>
      <c r="AE36" s="43"/>
      <c r="AF36" s="43"/>
      <c r="AG36" s="43"/>
      <c r="AH36" s="43"/>
      <c r="AI36" s="44"/>
    </row>
    <row r="37" spans="1:35" x14ac:dyDescent="0.25">
      <c r="A37" s="28">
        <v>17</v>
      </c>
      <c r="B37" s="33">
        <v>44166</v>
      </c>
      <c r="C37" s="31">
        <f t="shared" si="2"/>
        <v>12500</v>
      </c>
      <c r="D37" s="31">
        <f t="shared" si="0"/>
        <v>11646.928204158638</v>
      </c>
      <c r="E37" s="31">
        <f t="shared" si="3"/>
        <v>6257.4793589413803</v>
      </c>
      <c r="F37" s="31">
        <f t="shared" si="4"/>
        <v>337903.88538283465</v>
      </c>
      <c r="G37" s="31">
        <f t="shared" si="1"/>
        <v>1043.288691090914</v>
      </c>
      <c r="H37" s="32">
        <f t="shared" si="5"/>
        <v>251432.57455291026</v>
      </c>
      <c r="I37" s="29"/>
      <c r="J37" s="28"/>
      <c r="K37" s="31"/>
      <c r="L37" s="31"/>
      <c r="M37" s="31"/>
      <c r="N37" s="32"/>
      <c r="P37" s="60"/>
      <c r="Q37" s="61"/>
      <c r="R37" s="40" t="s">
        <v>0</v>
      </c>
      <c r="S37" s="40">
        <v>2422020</v>
      </c>
      <c r="T37" s="40"/>
      <c r="U37" s="40" t="s">
        <v>161</v>
      </c>
      <c r="V37" s="40"/>
      <c r="W37" s="41">
        <f>SUM(G32:G43)</f>
        <v>12219.151925427181</v>
      </c>
      <c r="X37" s="29"/>
      <c r="Y37" s="42"/>
      <c r="Z37" s="42"/>
      <c r="AA37" s="42"/>
      <c r="AB37" s="42"/>
      <c r="AC37" s="42"/>
      <c r="AD37" s="29"/>
      <c r="AE37" s="43"/>
      <c r="AF37" s="43"/>
      <c r="AG37" s="43"/>
      <c r="AH37" s="43"/>
      <c r="AI37" s="44"/>
    </row>
    <row r="38" spans="1:35" x14ac:dyDescent="0.25">
      <c r="A38" s="28">
        <v>18</v>
      </c>
      <c r="B38" s="33">
        <v>44197</v>
      </c>
      <c r="C38" s="31">
        <f t="shared" si="2"/>
        <v>12500</v>
      </c>
      <c r="D38" s="31">
        <f t="shared" si="0"/>
        <v>11598.600701236817</v>
      </c>
      <c r="E38" s="31">
        <f t="shared" si="3"/>
        <v>6257.4793589413803</v>
      </c>
      <c r="F38" s="31">
        <f t="shared" si="4"/>
        <v>331646.40602389327</v>
      </c>
      <c r="G38" s="31">
        <f t="shared" si="1"/>
        <v>995.55239397045943</v>
      </c>
      <c r="H38" s="32">
        <f t="shared" si="5"/>
        <v>239928.12694688071</v>
      </c>
      <c r="I38" s="29"/>
      <c r="J38" s="28"/>
      <c r="K38" s="31"/>
      <c r="L38" s="31"/>
      <c r="M38" s="31"/>
      <c r="N38" s="32"/>
      <c r="P38" s="60"/>
      <c r="Q38" s="61"/>
      <c r="R38" s="40" t="s">
        <v>1</v>
      </c>
      <c r="S38" s="40"/>
      <c r="T38" s="40"/>
      <c r="U38" s="40" t="s">
        <v>31</v>
      </c>
      <c r="V38" s="40"/>
      <c r="W38" s="41">
        <f>-SUM(C32:C43)</f>
        <v>-150000</v>
      </c>
      <c r="X38" s="29"/>
      <c r="Y38" s="42"/>
      <c r="Z38" s="42"/>
      <c r="AA38" s="42"/>
      <c r="AB38" s="42"/>
      <c r="AC38" s="42"/>
      <c r="AD38" s="29"/>
      <c r="AE38" s="43"/>
      <c r="AF38" s="43"/>
      <c r="AG38" s="43"/>
      <c r="AH38" s="43"/>
      <c r="AI38" s="44"/>
    </row>
    <row r="39" spans="1:35" x14ac:dyDescent="0.25">
      <c r="A39" s="28">
        <v>19</v>
      </c>
      <c r="B39" s="33">
        <v>44228</v>
      </c>
      <c r="C39" s="31">
        <f t="shared" si="2"/>
        <v>12500</v>
      </c>
      <c r="D39" s="31">
        <f t="shared" si="0"/>
        <v>11550.473727372762</v>
      </c>
      <c r="E39" s="31">
        <f t="shared" si="3"/>
        <v>6257.4793589413803</v>
      </c>
      <c r="F39" s="31">
        <f t="shared" si="4"/>
        <v>325388.9266649519</v>
      </c>
      <c r="G39" s="31">
        <f t="shared" si="1"/>
        <v>947.617195612003</v>
      </c>
      <c r="H39" s="32">
        <f t="shared" si="5"/>
        <v>228375.74414249271</v>
      </c>
      <c r="I39" s="29"/>
      <c r="J39" s="28"/>
      <c r="K39" s="31"/>
      <c r="L39" s="31"/>
      <c r="M39" s="31"/>
      <c r="N39" s="32"/>
      <c r="P39" s="60"/>
      <c r="Q39" s="61"/>
      <c r="R39" s="40" t="s">
        <v>132</v>
      </c>
      <c r="S39" s="40"/>
      <c r="T39" s="40"/>
      <c r="U39" s="40"/>
      <c r="V39" s="40"/>
      <c r="W39" s="40"/>
      <c r="X39" s="29"/>
      <c r="Y39" s="42"/>
      <c r="Z39" s="42"/>
      <c r="AA39" s="42"/>
      <c r="AB39" s="42"/>
      <c r="AC39" s="42"/>
      <c r="AD39" s="29"/>
      <c r="AE39" s="43"/>
      <c r="AF39" s="43"/>
      <c r="AG39" s="43"/>
      <c r="AH39" s="43"/>
      <c r="AI39" s="44"/>
    </row>
    <row r="40" spans="1:35" x14ac:dyDescent="0.25">
      <c r="A40" s="28">
        <v>20</v>
      </c>
      <c r="B40" s="33">
        <v>44256</v>
      </c>
      <c r="C40" s="31">
        <f t="shared" si="2"/>
        <v>12500</v>
      </c>
      <c r="D40" s="31">
        <f t="shared" si="0"/>
        <v>11502.546450495696</v>
      </c>
      <c r="E40" s="31">
        <f t="shared" si="3"/>
        <v>6257.4793589413803</v>
      </c>
      <c r="F40" s="31">
        <f t="shared" si="4"/>
        <v>319131.44730601052</v>
      </c>
      <c r="G40" s="31">
        <f t="shared" si="1"/>
        <v>899.48226726038627</v>
      </c>
      <c r="H40" s="32">
        <f t="shared" si="5"/>
        <v>216775.22640975309</v>
      </c>
      <c r="I40" s="29"/>
      <c r="J40" s="28"/>
      <c r="K40" s="31"/>
      <c r="L40" s="31"/>
      <c r="M40" s="31"/>
      <c r="N40" s="32"/>
      <c r="P40" s="60"/>
      <c r="Q40" s="61"/>
      <c r="R40" s="40"/>
      <c r="S40" s="40"/>
      <c r="T40" s="40"/>
      <c r="U40" s="40"/>
      <c r="V40" s="40"/>
      <c r="W40" s="40"/>
      <c r="X40" s="29"/>
      <c r="Y40" s="42"/>
      <c r="Z40" s="42"/>
      <c r="AA40" s="42"/>
      <c r="AB40" s="42"/>
      <c r="AC40" s="42"/>
      <c r="AD40" s="29"/>
      <c r="AE40" s="43"/>
      <c r="AF40" s="43"/>
      <c r="AG40" s="43"/>
      <c r="AH40" s="43"/>
      <c r="AI40" s="44"/>
    </row>
    <row r="41" spans="1:35" x14ac:dyDescent="0.25">
      <c r="A41" s="28">
        <v>21</v>
      </c>
      <c r="B41" s="33">
        <v>44287</v>
      </c>
      <c r="C41" s="31">
        <f t="shared" si="2"/>
        <v>12500</v>
      </c>
      <c r="D41" s="31">
        <f t="shared" si="0"/>
        <v>11454.818041987417</v>
      </c>
      <c r="E41" s="31">
        <f t="shared" si="3"/>
        <v>6257.4793589413803</v>
      </c>
      <c r="F41" s="31">
        <f t="shared" si="4"/>
        <v>312873.96794706915</v>
      </c>
      <c r="G41" s="31">
        <f t="shared" si="1"/>
        <v>851.14677670730453</v>
      </c>
      <c r="H41" s="32">
        <f t="shared" si="5"/>
        <v>205126.37318646041</v>
      </c>
      <c r="I41" s="29"/>
      <c r="J41" s="28"/>
      <c r="K41" s="31"/>
      <c r="L41" s="31"/>
      <c r="M41" s="31"/>
      <c r="N41" s="32"/>
      <c r="P41" s="60"/>
      <c r="Q41" s="61"/>
      <c r="R41" s="40"/>
      <c r="S41" s="40"/>
      <c r="T41" s="40"/>
      <c r="U41" s="40"/>
      <c r="V41" s="40"/>
      <c r="W41" s="40"/>
      <c r="X41" s="29"/>
      <c r="Y41" s="42"/>
      <c r="Z41" s="42"/>
      <c r="AA41" s="42"/>
      <c r="AB41" s="42"/>
      <c r="AC41" s="42"/>
      <c r="AD41" s="29"/>
      <c r="AE41" s="43"/>
      <c r="AF41" s="43"/>
      <c r="AG41" s="43"/>
      <c r="AH41" s="43"/>
      <c r="AI41" s="44"/>
    </row>
    <row r="42" spans="1:35" x14ac:dyDescent="0.25">
      <c r="A42" s="28">
        <v>22</v>
      </c>
      <c r="B42" s="33">
        <v>44317</v>
      </c>
      <c r="C42" s="31">
        <f t="shared" si="2"/>
        <v>12500</v>
      </c>
      <c r="D42" s="31">
        <f t="shared" si="0"/>
        <v>11407.287676667967</v>
      </c>
      <c r="E42" s="31">
        <f t="shared" si="3"/>
        <v>6257.4793589413803</v>
      </c>
      <c r="F42" s="31">
        <f t="shared" si="4"/>
        <v>306616.48858812777</v>
      </c>
      <c r="G42" s="31">
        <f t="shared" si="1"/>
        <v>802.60988827691835</v>
      </c>
      <c r="H42" s="32">
        <f t="shared" si="5"/>
        <v>193428.98307473733</v>
      </c>
      <c r="I42" s="29"/>
      <c r="J42" s="28"/>
      <c r="K42" s="31"/>
      <c r="L42" s="31"/>
      <c r="M42" s="31"/>
      <c r="N42" s="32"/>
      <c r="P42" s="60"/>
      <c r="Q42" s="61"/>
      <c r="R42" s="40"/>
      <c r="S42" s="40"/>
      <c r="T42" s="40"/>
      <c r="U42" s="40"/>
      <c r="V42" s="40"/>
      <c r="W42" s="40"/>
      <c r="X42" s="29"/>
      <c r="Y42" s="42"/>
      <c r="Z42" s="42"/>
      <c r="AA42" s="42"/>
      <c r="AB42" s="42"/>
      <c r="AC42" s="42"/>
      <c r="AD42" s="29"/>
      <c r="AE42" s="43"/>
      <c r="AF42" s="43"/>
      <c r="AG42" s="43"/>
      <c r="AH42" s="43"/>
      <c r="AI42" s="44"/>
    </row>
    <row r="43" spans="1:35" x14ac:dyDescent="0.25">
      <c r="A43" s="28">
        <v>23</v>
      </c>
      <c r="B43" s="33">
        <v>44348</v>
      </c>
      <c r="C43" s="31">
        <f t="shared" si="2"/>
        <v>12500</v>
      </c>
      <c r="D43" s="31">
        <f t="shared" si="0"/>
        <v>11359.954532781376</v>
      </c>
      <c r="E43" s="31">
        <f t="shared" si="3"/>
        <v>6257.4793589413803</v>
      </c>
      <c r="F43" s="30">
        <f>+F42-E43</f>
        <v>300359.0092291864</v>
      </c>
      <c r="G43" s="31">
        <f t="shared" si="1"/>
        <v>753.8707628114056</v>
      </c>
      <c r="H43" s="32">
        <f t="shared" si="5"/>
        <v>181682.85383754873</v>
      </c>
      <c r="I43" s="29"/>
      <c r="J43" s="28"/>
      <c r="K43" s="31"/>
      <c r="L43" s="31"/>
      <c r="M43" s="31"/>
      <c r="N43" s="32"/>
      <c r="P43" s="60"/>
      <c r="Q43" s="61"/>
      <c r="R43" s="40"/>
      <c r="S43" s="40"/>
      <c r="T43" s="40"/>
      <c r="U43" s="40"/>
      <c r="V43" s="40"/>
      <c r="W43" s="40"/>
      <c r="X43" s="29"/>
      <c r="Y43" s="42"/>
      <c r="Z43" s="42"/>
      <c r="AA43" s="42"/>
      <c r="AB43" s="42"/>
      <c r="AC43" s="42"/>
      <c r="AD43" s="29"/>
      <c r="AE43" s="43"/>
      <c r="AF43" s="43"/>
      <c r="AG43" s="43"/>
      <c r="AH43" s="43"/>
      <c r="AI43" s="44"/>
    </row>
    <row r="44" spans="1:35" ht="15.75" thickBot="1" x14ac:dyDescent="0.3">
      <c r="A44" s="28"/>
      <c r="B44" s="33"/>
      <c r="C44" s="31"/>
      <c r="D44" s="31"/>
      <c r="E44" s="31"/>
      <c r="F44" s="31"/>
      <c r="G44" s="31"/>
      <c r="H44" s="32"/>
      <c r="I44" s="29"/>
      <c r="J44" s="28"/>
      <c r="K44" s="31"/>
      <c r="L44" s="31"/>
      <c r="M44" s="31"/>
      <c r="N44" s="34">
        <f>+L$81</f>
        <v>153563.3230958278</v>
      </c>
      <c r="P44" s="62"/>
      <c r="Q44" s="63"/>
      <c r="R44" s="47"/>
      <c r="S44" s="47"/>
      <c r="T44" s="47"/>
      <c r="U44" s="47"/>
      <c r="V44" s="47"/>
      <c r="W44" s="47"/>
      <c r="X44" s="36"/>
      <c r="Y44" s="48"/>
      <c r="Z44" s="48"/>
      <c r="AA44" s="48"/>
      <c r="AB44" s="48"/>
      <c r="AC44" s="48"/>
      <c r="AD44" s="36"/>
      <c r="AE44" s="49"/>
      <c r="AF44" s="49"/>
      <c r="AG44" s="49"/>
      <c r="AH44" s="49"/>
      <c r="AI44" s="50"/>
    </row>
    <row r="45" spans="1:35" x14ac:dyDescent="0.25">
      <c r="A45" s="28">
        <v>24</v>
      </c>
      <c r="B45" s="33">
        <v>44378</v>
      </c>
      <c r="C45" s="31">
        <f t="shared" ref="C45:C85" si="6">50000/12</f>
        <v>4166.666666666667</v>
      </c>
      <c r="D45" s="31">
        <f t="shared" ref="D45:D92" si="7">+C45/(1+F$1)^A45</f>
        <v>3770.9392639938183</v>
      </c>
      <c r="E45" s="31">
        <f t="shared" si="3"/>
        <v>6257.4793589413803</v>
      </c>
      <c r="F45" s="31">
        <f>+F43-E45</f>
        <v>294101.52987024502</v>
      </c>
      <c r="G45" s="31">
        <f>+(H43-C45)*F$1</f>
        <v>739.65077987867528</v>
      </c>
      <c r="H45" s="32">
        <f>+H43-C45+G45</f>
        <v>178255.83795076073</v>
      </c>
      <c r="I45" s="29"/>
      <c r="J45" s="28">
        <v>0</v>
      </c>
      <c r="K45" s="31">
        <f>55000/12</f>
        <v>4583.333333333333</v>
      </c>
      <c r="L45" s="31">
        <f t="shared" ref="L45:L80" si="8">+K45/(1+F$1)^J45</f>
        <v>4583.333333333333</v>
      </c>
      <c r="M45" s="31">
        <f t="shared" ref="M45:M80" si="9">+(N44-K45)*F$1</f>
        <v>620.74995734372692</v>
      </c>
      <c r="N45" s="32">
        <f>+N44-K45+M45</f>
        <v>149600.7397198382</v>
      </c>
      <c r="P45" s="60" t="s">
        <v>114</v>
      </c>
      <c r="Q45" s="66">
        <v>44378</v>
      </c>
      <c r="R45" s="40" t="s">
        <v>0</v>
      </c>
      <c r="S45" s="40">
        <v>5233024</v>
      </c>
      <c r="T45" s="40" t="s">
        <v>151</v>
      </c>
      <c r="U45" s="40" t="s">
        <v>162</v>
      </c>
      <c r="V45" s="40"/>
      <c r="W45" s="41">
        <f>+N44</f>
        <v>153563.3230958278</v>
      </c>
      <c r="X45" s="29"/>
      <c r="Y45" s="42"/>
      <c r="Z45" s="42"/>
      <c r="AA45" s="42"/>
      <c r="AB45" s="42"/>
      <c r="AC45" s="42"/>
      <c r="AD45" s="29"/>
      <c r="AE45" s="43" t="s">
        <v>0</v>
      </c>
      <c r="AF45" s="43" t="s">
        <v>163</v>
      </c>
      <c r="AG45" s="43" t="s">
        <v>152</v>
      </c>
      <c r="AH45" s="43" t="s">
        <v>146</v>
      </c>
      <c r="AI45" s="45">
        <f>+N44</f>
        <v>153563.3230958278</v>
      </c>
    </row>
    <row r="46" spans="1:35" x14ac:dyDescent="0.25">
      <c r="A46" s="28">
        <v>25</v>
      </c>
      <c r="B46" s="33">
        <v>44409</v>
      </c>
      <c r="C46" s="31">
        <f t="shared" si="6"/>
        <v>4166.666666666667</v>
      </c>
      <c r="D46" s="31">
        <f t="shared" si="7"/>
        <v>3755.2922131058776</v>
      </c>
      <c r="E46" s="31">
        <f t="shared" si="3"/>
        <v>6257.4793589413803</v>
      </c>
      <c r="F46" s="31">
        <f t="shared" si="4"/>
        <v>287844.05051130365</v>
      </c>
      <c r="G46" s="31">
        <f t="shared" ref="G46:G92" si="10">+(H45-C46)*F$1</f>
        <v>725.37154701705867</v>
      </c>
      <c r="H46" s="32">
        <f t="shared" si="5"/>
        <v>174814.54283111115</v>
      </c>
      <c r="I46" s="29"/>
      <c r="J46" s="28">
        <v>1</v>
      </c>
      <c r="K46" s="31">
        <f t="shared" ref="K46:K80" si="11">55000/12</f>
        <v>4583.333333333333</v>
      </c>
      <c r="L46" s="31">
        <f t="shared" si="8"/>
        <v>4564.3153526970955</v>
      </c>
      <c r="M46" s="31">
        <f t="shared" si="9"/>
        <v>604.2391932771036</v>
      </c>
      <c r="N46" s="32">
        <f t="shared" ref="N46:N80" si="12">+N45-K46+M46</f>
        <v>145621.64557978197</v>
      </c>
      <c r="P46" s="60"/>
      <c r="Q46" s="61"/>
      <c r="R46" s="40" t="s">
        <v>1</v>
      </c>
      <c r="S46" s="40">
        <v>1220016</v>
      </c>
      <c r="T46" s="40" t="s">
        <v>151</v>
      </c>
      <c r="U46" s="40" t="s">
        <v>159</v>
      </c>
      <c r="V46" s="40"/>
      <c r="W46" s="41">
        <f>-W47-W45</f>
        <v>71705.933826061693</v>
      </c>
      <c r="X46" s="29"/>
      <c r="Y46" s="42"/>
      <c r="Z46" s="42"/>
      <c r="AA46" s="42"/>
      <c r="AB46" s="42"/>
      <c r="AC46" s="42"/>
      <c r="AD46" s="29"/>
      <c r="AE46" s="43" t="s">
        <v>1</v>
      </c>
      <c r="AF46" s="43">
        <v>3240008</v>
      </c>
      <c r="AG46" s="43" t="s">
        <v>152</v>
      </c>
      <c r="AH46" s="43" t="s">
        <v>104</v>
      </c>
      <c r="AI46" s="45">
        <f>-N44</f>
        <v>-153563.3230958278</v>
      </c>
    </row>
    <row r="47" spans="1:35" x14ac:dyDescent="0.25">
      <c r="A47" s="28">
        <v>26</v>
      </c>
      <c r="B47" s="33">
        <v>44440</v>
      </c>
      <c r="C47" s="31">
        <f t="shared" si="6"/>
        <v>4166.666666666667</v>
      </c>
      <c r="D47" s="31">
        <f t="shared" si="7"/>
        <v>3739.7100877402922</v>
      </c>
      <c r="E47" s="31">
        <f t="shared" si="3"/>
        <v>6257.4793589413803</v>
      </c>
      <c r="F47" s="31">
        <f t="shared" si="4"/>
        <v>281586.57115236227</v>
      </c>
      <c r="G47" s="31">
        <f t="shared" si="10"/>
        <v>711.03281735185203</v>
      </c>
      <c r="H47" s="32">
        <f t="shared" si="5"/>
        <v>171358.90898179635</v>
      </c>
      <c r="I47" s="29"/>
      <c r="J47" s="28">
        <v>2</v>
      </c>
      <c r="K47" s="31">
        <f t="shared" si="11"/>
        <v>4583.333333333333</v>
      </c>
      <c r="L47" s="31">
        <f t="shared" si="8"/>
        <v>4545.3762848435799</v>
      </c>
      <c r="M47" s="31">
        <f t="shared" si="9"/>
        <v>587.65963436020263</v>
      </c>
      <c r="N47" s="32">
        <f t="shared" si="12"/>
        <v>141625.97188080882</v>
      </c>
      <c r="P47" s="60"/>
      <c r="Q47" s="61"/>
      <c r="R47" s="40" t="s">
        <v>1</v>
      </c>
      <c r="S47" s="40">
        <v>5311002</v>
      </c>
      <c r="T47" s="40" t="s">
        <v>152</v>
      </c>
      <c r="U47" s="40" t="s">
        <v>146</v>
      </c>
      <c r="V47" s="40"/>
      <c r="W47" s="41">
        <f>-F43+F80</f>
        <v>-225269.25692188949</v>
      </c>
      <c r="X47" s="29"/>
      <c r="Y47" s="42"/>
      <c r="Z47" s="42"/>
      <c r="AA47" s="42"/>
      <c r="AB47" s="42"/>
      <c r="AC47" s="42"/>
      <c r="AD47" s="29"/>
      <c r="AE47" s="43"/>
      <c r="AF47" s="43"/>
      <c r="AG47" s="43"/>
      <c r="AH47" s="43"/>
      <c r="AI47" s="44"/>
    </row>
    <row r="48" spans="1:35" x14ac:dyDescent="0.25">
      <c r="A48" s="28">
        <v>27</v>
      </c>
      <c r="B48" s="33">
        <v>44470</v>
      </c>
      <c r="C48" s="31">
        <f t="shared" si="6"/>
        <v>4166.666666666667</v>
      </c>
      <c r="D48" s="31">
        <f t="shared" si="7"/>
        <v>3724.1926184965573</v>
      </c>
      <c r="E48" s="31">
        <f t="shared" si="3"/>
        <v>6257.4793589413803</v>
      </c>
      <c r="F48" s="31">
        <f t="shared" si="4"/>
        <v>275329.0917934209</v>
      </c>
      <c r="G48" s="31">
        <f t="shared" si="10"/>
        <v>696.63434297970707</v>
      </c>
      <c r="H48" s="32">
        <f t="shared" si="5"/>
        <v>167888.8766581094</v>
      </c>
      <c r="I48" s="29"/>
      <c r="J48" s="28">
        <v>3</v>
      </c>
      <c r="K48" s="31">
        <f t="shared" si="11"/>
        <v>4583.333333333333</v>
      </c>
      <c r="L48" s="31">
        <f t="shared" si="8"/>
        <v>4526.5158023338554</v>
      </c>
      <c r="M48" s="31">
        <f t="shared" si="9"/>
        <v>571.01099394781454</v>
      </c>
      <c r="N48" s="32">
        <f t="shared" si="12"/>
        <v>137613.64954142331</v>
      </c>
      <c r="P48" s="60"/>
      <c r="Q48" s="61"/>
      <c r="R48" s="40" t="s">
        <v>115</v>
      </c>
      <c r="S48" s="40"/>
      <c r="T48" s="40"/>
      <c r="U48" s="40"/>
      <c r="V48" s="40"/>
      <c r="W48" s="40"/>
      <c r="X48" s="29"/>
      <c r="Y48" s="42"/>
      <c r="Z48" s="42"/>
      <c r="AA48" s="42"/>
      <c r="AB48" s="42"/>
      <c r="AC48" s="42"/>
      <c r="AD48" s="29"/>
      <c r="AE48" s="43" t="s">
        <v>135</v>
      </c>
      <c r="AF48" s="43"/>
      <c r="AG48" s="43"/>
      <c r="AH48" s="43"/>
      <c r="AI48" s="44"/>
    </row>
    <row r="49" spans="1:35" ht="15.75" thickBot="1" x14ac:dyDescent="0.3">
      <c r="A49" s="28">
        <v>28</v>
      </c>
      <c r="B49" s="33">
        <v>44501</v>
      </c>
      <c r="C49" s="31">
        <f t="shared" si="6"/>
        <v>4166.666666666667</v>
      </c>
      <c r="D49" s="31">
        <f t="shared" si="7"/>
        <v>3708.7395370920071</v>
      </c>
      <c r="E49" s="31">
        <f t="shared" si="3"/>
        <v>6257.4793589413803</v>
      </c>
      <c r="F49" s="31">
        <f t="shared" si="4"/>
        <v>269071.61243447952</v>
      </c>
      <c r="G49" s="31">
        <f t="shared" si="10"/>
        <v>682.17587496434476</v>
      </c>
      <c r="H49" s="32">
        <f t="shared" si="5"/>
        <v>164404.38586640707</v>
      </c>
      <c r="I49" s="29"/>
      <c r="J49" s="28">
        <v>4</v>
      </c>
      <c r="K49" s="31">
        <f t="shared" si="11"/>
        <v>4583.333333333333</v>
      </c>
      <c r="L49" s="31">
        <f t="shared" si="8"/>
        <v>4507.7335790876568</v>
      </c>
      <c r="M49" s="31">
        <f t="shared" si="9"/>
        <v>554.2929842003748</v>
      </c>
      <c r="N49" s="32">
        <f t="shared" si="12"/>
        <v>133584.60919229034</v>
      </c>
      <c r="P49" s="60"/>
      <c r="Q49" s="61"/>
      <c r="R49" s="40" t="s">
        <v>136</v>
      </c>
      <c r="S49" s="40"/>
      <c r="T49" s="40"/>
      <c r="U49" s="40"/>
      <c r="V49" s="40"/>
      <c r="W49" s="40"/>
      <c r="X49" s="29"/>
      <c r="Y49" s="42"/>
      <c r="Z49" s="42"/>
      <c r="AA49" s="42"/>
      <c r="AB49" s="42"/>
      <c r="AC49" s="42"/>
      <c r="AD49" s="29"/>
      <c r="AE49" s="43"/>
      <c r="AF49" s="43"/>
      <c r="AG49" s="43"/>
      <c r="AH49" s="43"/>
      <c r="AI49" s="44"/>
    </row>
    <row r="50" spans="1:35" x14ac:dyDescent="0.25">
      <c r="A50" s="28">
        <v>29</v>
      </c>
      <c r="B50" s="33">
        <v>44531</v>
      </c>
      <c r="C50" s="31">
        <f t="shared" si="6"/>
        <v>4166.666666666667</v>
      </c>
      <c r="D50" s="31">
        <f t="shared" si="7"/>
        <v>3693.3505763571857</v>
      </c>
      <c r="E50" s="31">
        <f t="shared" si="3"/>
        <v>6257.4793589413803</v>
      </c>
      <c r="F50" s="31">
        <f t="shared" si="4"/>
        <v>262814.13307553815</v>
      </c>
      <c r="G50" s="31">
        <f t="shared" si="10"/>
        <v>667.65716333225168</v>
      </c>
      <c r="H50" s="32">
        <f t="shared" si="5"/>
        <v>160905.37636307266</v>
      </c>
      <c r="I50" s="29"/>
      <c r="J50" s="28">
        <v>5</v>
      </c>
      <c r="K50" s="31">
        <f t="shared" si="11"/>
        <v>4583.333333333333</v>
      </c>
      <c r="L50" s="31">
        <f t="shared" si="8"/>
        <v>4489.0292903777499</v>
      </c>
      <c r="M50" s="31">
        <f t="shared" si="9"/>
        <v>537.50531607898756</v>
      </c>
      <c r="N50" s="32">
        <f t="shared" si="12"/>
        <v>129538.781175036</v>
      </c>
      <c r="P50" s="39" t="s">
        <v>116</v>
      </c>
      <c r="Q50" s="64" t="s">
        <v>107</v>
      </c>
      <c r="R50" s="51" t="s">
        <v>0</v>
      </c>
      <c r="S50" s="51">
        <v>3240008</v>
      </c>
      <c r="T50" s="51"/>
      <c r="U50" s="51" t="s">
        <v>104</v>
      </c>
      <c r="V50" s="51"/>
      <c r="W50" s="52">
        <f>-W52-W51</f>
        <v>42079.832841341879</v>
      </c>
      <c r="X50" s="53"/>
      <c r="Y50" s="54" t="s">
        <v>0</v>
      </c>
      <c r="Z50" s="54"/>
      <c r="AA50" s="54"/>
      <c r="AB50" s="54" t="s">
        <v>31</v>
      </c>
      <c r="AC50" s="57">
        <f>SUM(K45:K56)</f>
        <v>55000.000000000007</v>
      </c>
      <c r="AD50" s="53"/>
      <c r="AE50" s="55" t="s">
        <v>0</v>
      </c>
      <c r="AF50" s="55">
        <v>3240008</v>
      </c>
      <c r="AG50" s="55" t="s">
        <v>152</v>
      </c>
      <c r="AH50" s="55" t="s">
        <v>104</v>
      </c>
      <c r="AI50" s="58">
        <f>-AI52-AI51</f>
        <v>48655.988647256119</v>
      </c>
    </row>
    <row r="51" spans="1:35" x14ac:dyDescent="0.25">
      <c r="A51" s="28">
        <v>30</v>
      </c>
      <c r="B51" s="33">
        <v>44562</v>
      </c>
      <c r="C51" s="31">
        <f t="shared" si="6"/>
        <v>4166.666666666667</v>
      </c>
      <c r="D51" s="31">
        <f t="shared" si="7"/>
        <v>3678.0254702312222</v>
      </c>
      <c r="E51" s="31">
        <f t="shared" si="3"/>
        <v>6257.4793589413803</v>
      </c>
      <c r="F51" s="31">
        <f t="shared" si="4"/>
        <v>256556.65371659677</v>
      </c>
      <c r="G51" s="31">
        <f t="shared" si="10"/>
        <v>653.07795706835839</v>
      </c>
      <c r="H51" s="32">
        <f t="shared" si="5"/>
        <v>157391.78765347437</v>
      </c>
      <c r="I51" s="29"/>
      <c r="J51" s="28">
        <v>6</v>
      </c>
      <c r="K51" s="31">
        <f t="shared" si="11"/>
        <v>4583.333333333333</v>
      </c>
      <c r="L51" s="31">
        <f t="shared" si="8"/>
        <v>4470.4026128243149</v>
      </c>
      <c r="M51" s="31">
        <f t="shared" si="9"/>
        <v>520.64769934042783</v>
      </c>
      <c r="N51" s="32">
        <f t="shared" si="12"/>
        <v>125476.09554104309</v>
      </c>
      <c r="P51" s="60"/>
      <c r="Q51" s="61"/>
      <c r="R51" s="40" t="s">
        <v>0</v>
      </c>
      <c r="S51" s="40">
        <v>2422020</v>
      </c>
      <c r="T51" s="40"/>
      <c r="U51" s="40" t="s">
        <v>161</v>
      </c>
      <c r="V51" s="40"/>
      <c r="W51" s="41">
        <f>SUM(G45:G56)</f>
        <v>7920.167158658116</v>
      </c>
      <c r="X51" s="29"/>
      <c r="Y51" s="42" t="s">
        <v>1</v>
      </c>
      <c r="Z51" s="42">
        <v>1220017</v>
      </c>
      <c r="AA51" s="42" t="s">
        <v>152</v>
      </c>
      <c r="AB51" s="42" t="s">
        <v>160</v>
      </c>
      <c r="AC51" s="46">
        <f>-SUM(M45:M56)</f>
        <v>-6344.0113527438889</v>
      </c>
      <c r="AD51" s="29"/>
      <c r="AE51" s="43" t="s">
        <v>0</v>
      </c>
      <c r="AF51" s="43">
        <v>2422020</v>
      </c>
      <c r="AG51" s="43"/>
      <c r="AH51" s="43" t="s">
        <v>161</v>
      </c>
      <c r="AI51" s="45">
        <f>SUM(M45:M56)</f>
        <v>6344.0113527438889</v>
      </c>
    </row>
    <row r="52" spans="1:35" x14ac:dyDescent="0.25">
      <c r="A52" s="28">
        <v>31</v>
      </c>
      <c r="B52" s="33">
        <v>44593</v>
      </c>
      <c r="C52" s="31">
        <f t="shared" si="6"/>
        <v>4166.666666666667</v>
      </c>
      <c r="D52" s="31">
        <f t="shared" si="7"/>
        <v>3662.7639537572322</v>
      </c>
      <c r="E52" s="31">
        <f t="shared" si="3"/>
        <v>6257.4793589413803</v>
      </c>
      <c r="F52" s="31">
        <f t="shared" si="4"/>
        <v>250299.1743576554</v>
      </c>
      <c r="G52" s="31">
        <f t="shared" si="10"/>
        <v>638.43800411169877</v>
      </c>
      <c r="H52" s="32">
        <f t="shared" si="5"/>
        <v>153863.55899091941</v>
      </c>
      <c r="I52" s="29"/>
      <c r="J52" s="28">
        <v>7</v>
      </c>
      <c r="K52" s="31">
        <f t="shared" si="11"/>
        <v>4583.333333333333</v>
      </c>
      <c r="L52" s="31">
        <f t="shared" si="8"/>
        <v>4451.8532243893587</v>
      </c>
      <c r="M52" s="31">
        <f t="shared" si="9"/>
        <v>503.71984253212401</v>
      </c>
      <c r="N52" s="32">
        <f t="shared" si="12"/>
        <v>121396.48205024189</v>
      </c>
      <c r="P52" s="60"/>
      <c r="Q52" s="61"/>
      <c r="R52" s="40" t="s">
        <v>1</v>
      </c>
      <c r="S52" s="40"/>
      <c r="T52" s="40"/>
      <c r="U52" s="40" t="s">
        <v>31</v>
      </c>
      <c r="V52" s="40"/>
      <c r="W52" s="41">
        <f>-SUM(C45:C56)</f>
        <v>-49999.999999999993</v>
      </c>
      <c r="X52" s="29"/>
      <c r="Y52" s="42" t="s">
        <v>1</v>
      </c>
      <c r="Z52" s="42">
        <v>5233027</v>
      </c>
      <c r="AA52" s="42" t="s">
        <v>152</v>
      </c>
      <c r="AB52" s="42" t="s">
        <v>30</v>
      </c>
      <c r="AC52" s="46">
        <f>-AC50-AC51</f>
        <v>-48655.988647256119</v>
      </c>
      <c r="AD52" s="29"/>
      <c r="AE52" s="43" t="s">
        <v>1</v>
      </c>
      <c r="AF52" s="43"/>
      <c r="AG52" s="43"/>
      <c r="AH52" s="43" t="s">
        <v>31</v>
      </c>
      <c r="AI52" s="45">
        <f>-SUM(K45:K56)</f>
        <v>-55000.000000000007</v>
      </c>
    </row>
    <row r="53" spans="1:35" x14ac:dyDescent="0.25">
      <c r="A53" s="28">
        <v>32</v>
      </c>
      <c r="B53" s="33">
        <v>44621</v>
      </c>
      <c r="C53" s="31">
        <f t="shared" si="6"/>
        <v>4166.666666666667</v>
      </c>
      <c r="D53" s="31">
        <f t="shared" si="7"/>
        <v>3647.5657630777423</v>
      </c>
      <c r="E53" s="31">
        <f t="shared" si="3"/>
        <v>6257.4793589413803</v>
      </c>
      <c r="F53" s="31">
        <f t="shared" si="4"/>
        <v>244041.69499871403</v>
      </c>
      <c r="G53" s="31">
        <f t="shared" si="10"/>
        <v>623.73705135105308</v>
      </c>
      <c r="H53" s="32">
        <f t="shared" si="5"/>
        <v>150320.62937560381</v>
      </c>
      <c r="I53" s="29"/>
      <c r="J53" s="28">
        <v>8</v>
      </c>
      <c r="K53" s="31">
        <f t="shared" si="11"/>
        <v>4583.333333333333</v>
      </c>
      <c r="L53" s="31">
        <f t="shared" si="8"/>
        <v>4433.380804371146</v>
      </c>
      <c r="M53" s="31">
        <f t="shared" si="9"/>
        <v>486.72145298711899</v>
      </c>
      <c r="N53" s="32">
        <f t="shared" si="12"/>
        <v>117299.87016989567</v>
      </c>
      <c r="P53" s="60"/>
      <c r="Q53" s="61"/>
      <c r="R53" s="40" t="s">
        <v>133</v>
      </c>
      <c r="S53" s="40"/>
      <c r="T53" s="40"/>
      <c r="U53" s="40"/>
      <c r="V53" s="40"/>
      <c r="W53" s="40"/>
      <c r="X53" s="29"/>
      <c r="Y53" s="42" t="s">
        <v>121</v>
      </c>
      <c r="Z53" s="42"/>
      <c r="AA53" s="42"/>
      <c r="AB53" s="42"/>
      <c r="AC53" s="42"/>
      <c r="AD53" s="29"/>
      <c r="AE53" s="43" t="s">
        <v>121</v>
      </c>
      <c r="AF53" s="43"/>
      <c r="AG53" s="43"/>
      <c r="AH53" s="43"/>
      <c r="AI53" s="44"/>
    </row>
    <row r="54" spans="1:35" x14ac:dyDescent="0.25">
      <c r="A54" s="28">
        <v>33</v>
      </c>
      <c r="B54" s="33">
        <v>44652</v>
      </c>
      <c r="C54" s="31">
        <f t="shared" si="6"/>
        <v>4166.666666666667</v>
      </c>
      <c r="D54" s="31">
        <f t="shared" si="7"/>
        <v>3632.4306354301166</v>
      </c>
      <c r="E54" s="31">
        <f t="shared" si="3"/>
        <v>6257.4793589413803</v>
      </c>
      <c r="F54" s="31">
        <f t="shared" si="4"/>
        <v>237784.21563977265</v>
      </c>
      <c r="G54" s="31">
        <f t="shared" si="10"/>
        <v>608.9748446205715</v>
      </c>
      <c r="H54" s="32">
        <f t="shared" si="5"/>
        <v>146762.93755355771</v>
      </c>
      <c r="I54" s="29"/>
      <c r="J54" s="28">
        <v>9</v>
      </c>
      <c r="K54" s="31">
        <f t="shared" si="11"/>
        <v>4583.333333333333</v>
      </c>
      <c r="L54" s="31">
        <f t="shared" si="8"/>
        <v>4414.9850333986515</v>
      </c>
      <c r="M54" s="31">
        <f t="shared" si="9"/>
        <v>469.65223681900977</v>
      </c>
      <c r="N54" s="32">
        <f t="shared" si="12"/>
        <v>113186.18907338135</v>
      </c>
      <c r="P54" s="60"/>
      <c r="Q54" s="61"/>
      <c r="R54" s="40"/>
      <c r="S54" s="40"/>
      <c r="T54" s="40"/>
      <c r="U54" s="40"/>
      <c r="V54" s="40"/>
      <c r="W54" s="40"/>
      <c r="X54" s="29"/>
      <c r="Y54" s="42"/>
      <c r="Z54" s="42"/>
      <c r="AA54" s="42"/>
      <c r="AB54" s="42"/>
      <c r="AC54" s="42"/>
      <c r="AD54" s="29"/>
      <c r="AE54" s="43"/>
      <c r="AF54" s="43"/>
      <c r="AG54" s="43"/>
      <c r="AH54" s="43"/>
      <c r="AI54" s="44"/>
    </row>
    <row r="55" spans="1:35" x14ac:dyDescent="0.25">
      <c r="A55" s="28">
        <v>34</v>
      </c>
      <c r="B55" s="33">
        <v>44682</v>
      </c>
      <c r="C55" s="31">
        <f t="shared" si="6"/>
        <v>4166.666666666667</v>
      </c>
      <c r="D55" s="31">
        <f t="shared" si="7"/>
        <v>3617.3583091420251</v>
      </c>
      <c r="E55" s="31">
        <f t="shared" si="3"/>
        <v>6257.4793589413803</v>
      </c>
      <c r="F55" s="31">
        <f t="shared" si="4"/>
        <v>231526.73628083128</v>
      </c>
      <c r="G55" s="31">
        <f t="shared" si="10"/>
        <v>594.15112869537938</v>
      </c>
      <c r="H55" s="32">
        <f t="shared" si="5"/>
        <v>143190.42201558643</v>
      </c>
      <c r="I55" s="29"/>
      <c r="J55" s="28">
        <v>10</v>
      </c>
      <c r="K55" s="31">
        <f t="shared" si="11"/>
        <v>4583.333333333333</v>
      </c>
      <c r="L55" s="31">
        <f t="shared" si="8"/>
        <v>4396.6655934260425</v>
      </c>
      <c r="M55" s="31">
        <f t="shared" si="9"/>
        <v>452.51189891686676</v>
      </c>
      <c r="N55" s="32">
        <f t="shared" si="12"/>
        <v>109055.36763896489</v>
      </c>
      <c r="P55" s="60"/>
      <c r="Q55" s="61"/>
      <c r="R55" s="40" t="s">
        <v>137</v>
      </c>
      <c r="S55" s="40"/>
      <c r="T55" s="40"/>
      <c r="U55" s="40"/>
      <c r="V55" s="40"/>
      <c r="W55" s="40"/>
      <c r="X55" s="29"/>
      <c r="Y55" s="42"/>
      <c r="Z55" s="42"/>
      <c r="AA55" s="42"/>
      <c r="AB55" s="42"/>
      <c r="AC55" s="42"/>
      <c r="AD55" s="29"/>
      <c r="AE55" s="43" t="s">
        <v>0</v>
      </c>
      <c r="AF55" s="43">
        <v>2241000</v>
      </c>
      <c r="AG55" s="43" t="s">
        <v>151</v>
      </c>
      <c r="AH55" s="43" t="s">
        <v>143</v>
      </c>
      <c r="AI55" s="45">
        <f>+N$44/3</f>
        <v>51187.774365275931</v>
      </c>
    </row>
    <row r="56" spans="1:35" x14ac:dyDescent="0.25">
      <c r="A56" s="28">
        <v>35</v>
      </c>
      <c r="B56" s="33">
        <v>44713</v>
      </c>
      <c r="C56" s="31">
        <f t="shared" si="6"/>
        <v>4166.666666666667</v>
      </c>
      <c r="D56" s="31">
        <f t="shared" si="7"/>
        <v>3602.3485236269125</v>
      </c>
      <c r="E56" s="31">
        <f t="shared" si="3"/>
        <v>6257.4793589413803</v>
      </c>
      <c r="F56" s="31">
        <f t="shared" si="4"/>
        <v>225269.2569218899</v>
      </c>
      <c r="G56" s="31">
        <f t="shared" si="10"/>
        <v>579.26564728716573</v>
      </c>
      <c r="H56" s="32">
        <f t="shared" si="5"/>
        <v>139603.02099620693</v>
      </c>
      <c r="I56" s="29"/>
      <c r="J56" s="28">
        <v>11</v>
      </c>
      <c r="K56" s="31">
        <f t="shared" si="11"/>
        <v>4583.333333333333</v>
      </c>
      <c r="L56" s="31">
        <f t="shared" si="8"/>
        <v>4378.4221677271798</v>
      </c>
      <c r="M56" s="31">
        <f t="shared" si="9"/>
        <v>435.30014294013148</v>
      </c>
      <c r="N56" s="32">
        <f t="shared" si="12"/>
        <v>104907.3344485717</v>
      </c>
      <c r="P56" s="60"/>
      <c r="Q56" s="61"/>
      <c r="R56" s="40" t="s">
        <v>138</v>
      </c>
      <c r="S56" s="40"/>
      <c r="T56" s="40"/>
      <c r="U56" s="40"/>
      <c r="V56" s="40"/>
      <c r="W56" s="40"/>
      <c r="X56" s="29"/>
      <c r="Y56" s="42"/>
      <c r="Z56" s="42"/>
      <c r="AA56" s="42"/>
      <c r="AB56" s="42"/>
      <c r="AC56" s="42"/>
      <c r="AD56" s="29"/>
      <c r="AE56" s="43" t="s">
        <v>1</v>
      </c>
      <c r="AF56" s="43" t="s">
        <v>164</v>
      </c>
      <c r="AG56" s="43" t="s">
        <v>151</v>
      </c>
      <c r="AH56" s="43" t="s">
        <v>105</v>
      </c>
      <c r="AI56" s="45">
        <f>-AI55</f>
        <v>-51187.774365275931</v>
      </c>
    </row>
    <row r="57" spans="1:35" x14ac:dyDescent="0.25">
      <c r="A57" s="28">
        <v>36</v>
      </c>
      <c r="B57" s="33">
        <v>44743</v>
      </c>
      <c r="C57" s="31">
        <f t="shared" si="6"/>
        <v>4166.666666666667</v>
      </c>
      <c r="D57" s="31">
        <f t="shared" si="7"/>
        <v>3587.4010193794984</v>
      </c>
      <c r="E57" s="31">
        <f t="shared" si="3"/>
        <v>6257.4793589413803</v>
      </c>
      <c r="F57" s="31">
        <f t="shared" si="4"/>
        <v>219011.77756294853</v>
      </c>
      <c r="G57" s="31">
        <f t="shared" si="10"/>
        <v>564.31814303975113</v>
      </c>
      <c r="H57" s="32">
        <f t="shared" si="5"/>
        <v>136000.67247258002</v>
      </c>
      <c r="I57" s="29"/>
      <c r="J57" s="28">
        <v>12</v>
      </c>
      <c r="K57" s="31">
        <f t="shared" si="11"/>
        <v>4583.333333333333</v>
      </c>
      <c r="L57" s="31">
        <f t="shared" si="8"/>
        <v>4360.2544408901376</v>
      </c>
      <c r="M57" s="31">
        <f t="shared" si="9"/>
        <v>418.01667131349319</v>
      </c>
      <c r="N57" s="32">
        <f t="shared" si="12"/>
        <v>100742.01778655186</v>
      </c>
      <c r="P57" s="60"/>
      <c r="Q57" s="61"/>
      <c r="R57" s="40"/>
      <c r="S57" s="40"/>
      <c r="T57" s="40"/>
      <c r="U57" s="40"/>
      <c r="V57" s="40"/>
      <c r="W57" s="40"/>
      <c r="X57" s="29"/>
      <c r="Y57" s="42"/>
      <c r="Z57" s="42"/>
      <c r="AA57" s="42"/>
      <c r="AB57" s="42"/>
      <c r="AC57" s="42"/>
      <c r="AD57" s="29"/>
      <c r="AE57" s="43" t="s">
        <v>155</v>
      </c>
      <c r="AF57" s="43"/>
      <c r="AG57" s="43"/>
      <c r="AH57" s="43"/>
      <c r="AI57" s="44"/>
    </row>
    <row r="58" spans="1:35" ht="15.75" thickBot="1" x14ac:dyDescent="0.3">
      <c r="A58" s="28">
        <v>37</v>
      </c>
      <c r="B58" s="33">
        <v>44774</v>
      </c>
      <c r="C58" s="31">
        <f t="shared" si="6"/>
        <v>4166.666666666667</v>
      </c>
      <c r="D58" s="31">
        <f t="shared" si="7"/>
        <v>3572.5155379712851</v>
      </c>
      <c r="E58" s="31">
        <f t="shared" si="3"/>
        <v>6257.4793589413803</v>
      </c>
      <c r="F58" s="31">
        <f t="shared" si="4"/>
        <v>212754.29820400715</v>
      </c>
      <c r="G58" s="31">
        <f t="shared" si="10"/>
        <v>549.30835752463895</v>
      </c>
      <c r="H58" s="32">
        <f t="shared" si="5"/>
        <v>132383.31416343799</v>
      </c>
      <c r="I58" s="29"/>
      <c r="J58" s="28">
        <v>13</v>
      </c>
      <c r="K58" s="31">
        <f t="shared" si="11"/>
        <v>4583.333333333333</v>
      </c>
      <c r="L58" s="31">
        <f t="shared" si="8"/>
        <v>4342.1620988117556</v>
      </c>
      <c r="M58" s="31">
        <f t="shared" si="9"/>
        <v>400.66118522174389</v>
      </c>
      <c r="N58" s="32">
        <f t="shared" si="12"/>
        <v>96559.345638440282</v>
      </c>
      <c r="P58" s="62"/>
      <c r="Q58" s="63"/>
      <c r="R58" s="47"/>
      <c r="S58" s="47"/>
      <c r="T58" s="47"/>
      <c r="U58" s="47"/>
      <c r="V58" s="47"/>
      <c r="W58" s="47"/>
      <c r="X58" s="36"/>
      <c r="Y58" s="48"/>
      <c r="Z58" s="48"/>
      <c r="AA58" s="48"/>
      <c r="AB58" s="48"/>
      <c r="AC58" s="48"/>
      <c r="AD58" s="36"/>
      <c r="AE58" s="49"/>
      <c r="AF58" s="49"/>
      <c r="AG58" s="49"/>
      <c r="AH58" s="49"/>
      <c r="AI58" s="50"/>
    </row>
    <row r="59" spans="1:35" x14ac:dyDescent="0.25">
      <c r="A59" s="28">
        <v>38</v>
      </c>
      <c r="B59" s="33">
        <v>44805</v>
      </c>
      <c r="C59" s="31">
        <f t="shared" si="6"/>
        <v>4166.666666666667</v>
      </c>
      <c r="D59" s="31">
        <f t="shared" si="7"/>
        <v>3557.6918220460925</v>
      </c>
      <c r="E59" s="31">
        <f t="shared" si="3"/>
        <v>6257.4793589413803</v>
      </c>
      <c r="F59" s="31">
        <f t="shared" si="4"/>
        <v>206496.81884506578</v>
      </c>
      <c r="G59" s="31">
        <f t="shared" si="10"/>
        <v>534.23603123654709</v>
      </c>
      <c r="H59" s="32">
        <f t="shared" si="5"/>
        <v>128750.88352800786</v>
      </c>
      <c r="I59" s="29"/>
      <c r="J59" s="28">
        <v>14</v>
      </c>
      <c r="K59" s="31">
        <f t="shared" si="11"/>
        <v>4583.333333333333</v>
      </c>
      <c r="L59" s="31">
        <f t="shared" si="8"/>
        <v>4324.144828692205</v>
      </c>
      <c r="M59" s="31">
        <f t="shared" si="9"/>
        <v>383.2333846046123</v>
      </c>
      <c r="N59" s="32">
        <f t="shared" si="12"/>
        <v>92359.245689711563</v>
      </c>
      <c r="P59" s="39" t="s">
        <v>118</v>
      </c>
      <c r="Q59" s="64" t="s">
        <v>108</v>
      </c>
      <c r="R59" s="51" t="s">
        <v>0</v>
      </c>
      <c r="S59" s="51">
        <v>3240008</v>
      </c>
      <c r="T59" s="51"/>
      <c r="U59" s="51" t="s">
        <v>104</v>
      </c>
      <c r="V59" s="51"/>
      <c r="W59" s="52">
        <f>-W61-W60</f>
        <v>44232.716952051014</v>
      </c>
      <c r="X59" s="53"/>
      <c r="Y59" s="54" t="s">
        <v>0</v>
      </c>
      <c r="Z59" s="54"/>
      <c r="AA59" s="54"/>
      <c r="AB59" s="54" t="s">
        <v>31</v>
      </c>
      <c r="AC59" s="57">
        <f>SUM(K57:K68)</f>
        <v>55000.000000000007</v>
      </c>
      <c r="AD59" s="53"/>
      <c r="AE59" s="55" t="s">
        <v>0</v>
      </c>
      <c r="AF59" s="55">
        <v>3240008</v>
      </c>
      <c r="AG59" s="55" t="s">
        <v>152</v>
      </c>
      <c r="AH59" s="55" t="s">
        <v>104</v>
      </c>
      <c r="AI59" s="58">
        <f>-AI61-AI60</f>
        <v>51145.321369761805</v>
      </c>
    </row>
    <row r="60" spans="1:35" x14ac:dyDescent="0.25">
      <c r="A60" s="28">
        <v>39</v>
      </c>
      <c r="B60" s="33">
        <v>44835</v>
      </c>
      <c r="C60" s="31">
        <f t="shared" si="6"/>
        <v>4166.666666666667</v>
      </c>
      <c r="D60" s="31">
        <f t="shared" si="7"/>
        <v>3542.9296153156101</v>
      </c>
      <c r="E60" s="31">
        <f t="shared" si="3"/>
        <v>6257.4793589413803</v>
      </c>
      <c r="F60" s="31">
        <f t="shared" si="4"/>
        <v>200239.3394861244</v>
      </c>
      <c r="G60" s="31">
        <f t="shared" si="10"/>
        <v>519.1009035889216</v>
      </c>
      <c r="H60" s="32">
        <f t="shared" si="5"/>
        <v>125103.31776493011</v>
      </c>
      <c r="I60" s="29"/>
      <c r="J60" s="28">
        <v>15</v>
      </c>
      <c r="K60" s="31">
        <f t="shared" si="11"/>
        <v>4583.333333333333</v>
      </c>
      <c r="L60" s="31">
        <f t="shared" si="8"/>
        <v>4306.2023190295795</v>
      </c>
      <c r="M60" s="31">
        <f t="shared" si="9"/>
        <v>365.73296815157596</v>
      </c>
      <c r="N60" s="32">
        <f t="shared" si="12"/>
        <v>88141.645324529803</v>
      </c>
      <c r="P60" s="60"/>
      <c r="Q60" s="61"/>
      <c r="R60" s="40" t="s">
        <v>0</v>
      </c>
      <c r="S60" s="40">
        <v>2422020</v>
      </c>
      <c r="T60" s="40"/>
      <c r="U60" s="40" t="s">
        <v>161</v>
      </c>
      <c r="V60" s="40"/>
      <c r="W60" s="41">
        <f>SUM(G57:G68)</f>
        <v>5767.2830479489794</v>
      </c>
      <c r="X60" s="29"/>
      <c r="Y60" s="42" t="s">
        <v>1</v>
      </c>
      <c r="Z60" s="42">
        <v>1220017</v>
      </c>
      <c r="AA60" s="42" t="s">
        <v>152</v>
      </c>
      <c r="AB60" s="42" t="s">
        <v>160</v>
      </c>
      <c r="AC60" s="46">
        <f>-SUM(M57:M68)</f>
        <v>-3854.6786302382043</v>
      </c>
      <c r="AD60" s="29"/>
      <c r="AE60" s="43" t="s">
        <v>0</v>
      </c>
      <c r="AF60" s="43">
        <v>2422020</v>
      </c>
      <c r="AG60" s="43"/>
      <c r="AH60" s="43" t="s">
        <v>161</v>
      </c>
      <c r="AI60" s="45">
        <f>SUM(M57:M68)</f>
        <v>3854.6786302382043</v>
      </c>
    </row>
    <row r="61" spans="1:35" x14ac:dyDescent="0.25">
      <c r="A61" s="28">
        <v>40</v>
      </c>
      <c r="B61" s="33">
        <v>44866</v>
      </c>
      <c r="C61" s="31">
        <f t="shared" si="6"/>
        <v>4166.666666666667</v>
      </c>
      <c r="D61" s="31">
        <f t="shared" si="7"/>
        <v>3528.228662554965</v>
      </c>
      <c r="E61" s="31">
        <f t="shared" si="3"/>
        <v>6257.4793589413803</v>
      </c>
      <c r="F61" s="31">
        <f t="shared" si="4"/>
        <v>193981.86012718303</v>
      </c>
      <c r="G61" s="31">
        <f t="shared" si="10"/>
        <v>503.90271290943099</v>
      </c>
      <c r="H61" s="32">
        <f t="shared" si="5"/>
        <v>121440.55381117287</v>
      </c>
      <c r="I61" s="29"/>
      <c r="J61" s="28">
        <v>16</v>
      </c>
      <c r="K61" s="31">
        <f t="shared" si="11"/>
        <v>4583.333333333333</v>
      </c>
      <c r="L61" s="31">
        <f t="shared" si="8"/>
        <v>4288.3342596145203</v>
      </c>
      <c r="M61" s="31">
        <f t="shared" si="9"/>
        <v>348.15963329665198</v>
      </c>
      <c r="N61" s="32">
        <f t="shared" si="12"/>
        <v>83906.471624493133</v>
      </c>
      <c r="P61" s="60"/>
      <c r="Q61" s="61"/>
      <c r="R61" s="40" t="s">
        <v>1</v>
      </c>
      <c r="S61" s="40"/>
      <c r="T61" s="40"/>
      <c r="U61" s="40" t="s">
        <v>31</v>
      </c>
      <c r="V61" s="40"/>
      <c r="W61" s="41">
        <f>-SUM(C57:C68)</f>
        <v>-49999.999999999993</v>
      </c>
      <c r="X61" s="29"/>
      <c r="Y61" s="42" t="s">
        <v>1</v>
      </c>
      <c r="Z61" s="42">
        <v>5233027</v>
      </c>
      <c r="AA61" s="42" t="s">
        <v>152</v>
      </c>
      <c r="AB61" s="42" t="s">
        <v>30</v>
      </c>
      <c r="AC61" s="46">
        <f>-AC59-AC60</f>
        <v>-51145.321369761805</v>
      </c>
      <c r="AD61" s="29"/>
      <c r="AE61" s="43" t="s">
        <v>1</v>
      </c>
      <c r="AF61" s="43"/>
      <c r="AG61" s="43"/>
      <c r="AH61" s="43" t="s">
        <v>31</v>
      </c>
      <c r="AI61" s="45">
        <f>-SUM(K57:K68)</f>
        <v>-55000.000000000007</v>
      </c>
    </row>
    <row r="62" spans="1:35" x14ac:dyDescent="0.25">
      <c r="A62" s="28">
        <v>41</v>
      </c>
      <c r="B62" s="33">
        <v>44896</v>
      </c>
      <c r="C62" s="31">
        <f t="shared" si="6"/>
        <v>4166.666666666667</v>
      </c>
      <c r="D62" s="31">
        <f t="shared" si="7"/>
        <v>3513.5887095983057</v>
      </c>
      <c r="E62" s="31">
        <f t="shared" si="3"/>
        <v>6257.4793589413803</v>
      </c>
      <c r="F62" s="31">
        <f t="shared" si="4"/>
        <v>187724.38076824165</v>
      </c>
      <c r="G62" s="31">
        <f t="shared" si="10"/>
        <v>488.64119643544245</v>
      </c>
      <c r="H62" s="32">
        <f t="shared" si="5"/>
        <v>117762.52834094164</v>
      </c>
      <c r="I62" s="29"/>
      <c r="J62" s="28">
        <v>17</v>
      </c>
      <c r="K62" s="31">
        <f t="shared" si="11"/>
        <v>4583.333333333333</v>
      </c>
      <c r="L62" s="31">
        <f t="shared" si="8"/>
        <v>4270.5403415248329</v>
      </c>
      <c r="M62" s="31">
        <f t="shared" si="9"/>
        <v>330.51307621316585</v>
      </c>
      <c r="N62" s="32">
        <f t="shared" si="12"/>
        <v>79653.651367372964</v>
      </c>
      <c r="P62" s="60"/>
      <c r="Q62" s="61"/>
      <c r="R62" s="40" t="s">
        <v>134</v>
      </c>
      <c r="S62" s="40"/>
      <c r="T62" s="40"/>
      <c r="U62" s="40"/>
      <c r="V62" s="40"/>
      <c r="W62" s="40"/>
      <c r="X62" s="29"/>
      <c r="Y62" s="42" t="s">
        <v>123</v>
      </c>
      <c r="Z62" s="42"/>
      <c r="AA62" s="42"/>
      <c r="AB62" s="42"/>
      <c r="AC62" s="42"/>
      <c r="AD62" s="29"/>
      <c r="AE62" s="43" t="s">
        <v>123</v>
      </c>
      <c r="AF62" s="43"/>
      <c r="AG62" s="43"/>
      <c r="AH62" s="43"/>
      <c r="AI62" s="44"/>
    </row>
    <row r="63" spans="1:35" x14ac:dyDescent="0.25">
      <c r="A63" s="28">
        <v>42</v>
      </c>
      <c r="B63" s="33">
        <v>44927</v>
      </c>
      <c r="C63" s="31">
        <f t="shared" si="6"/>
        <v>4166.666666666667</v>
      </c>
      <c r="D63" s="31">
        <f t="shared" si="7"/>
        <v>3499.0095033344114</v>
      </c>
      <c r="E63" s="31">
        <f t="shared" si="3"/>
        <v>6257.4793589413803</v>
      </c>
      <c r="F63" s="31">
        <f t="shared" si="4"/>
        <v>181466.90140930028</v>
      </c>
      <c r="G63" s="31">
        <f t="shared" si="10"/>
        <v>473.31609030947902</v>
      </c>
      <c r="H63" s="32">
        <f t="shared" si="5"/>
        <v>114069.17776458446</v>
      </c>
      <c r="I63" s="29"/>
      <c r="J63" s="28">
        <v>18</v>
      </c>
      <c r="K63" s="31">
        <f t="shared" si="11"/>
        <v>4583.333333333333</v>
      </c>
      <c r="L63" s="31">
        <f t="shared" si="8"/>
        <v>4252.8202571201664</v>
      </c>
      <c r="M63" s="31">
        <f t="shared" si="9"/>
        <v>312.79299180849847</v>
      </c>
      <c r="N63" s="32">
        <f t="shared" si="12"/>
        <v>75383.111025848135</v>
      </c>
      <c r="P63" s="60"/>
      <c r="Q63" s="61"/>
      <c r="R63" s="40"/>
      <c r="S63" s="40"/>
      <c r="T63" s="40"/>
      <c r="U63" s="40"/>
      <c r="V63" s="40"/>
      <c r="W63" s="40"/>
      <c r="X63" s="29"/>
      <c r="Y63" s="42"/>
      <c r="Z63" s="42"/>
      <c r="AA63" s="42"/>
      <c r="AB63" s="42"/>
      <c r="AC63" s="42"/>
      <c r="AD63" s="29"/>
      <c r="AE63" s="43"/>
      <c r="AF63" s="43"/>
      <c r="AG63" s="43"/>
      <c r="AH63" s="43"/>
      <c r="AI63" s="44"/>
    </row>
    <row r="64" spans="1:35" x14ac:dyDescent="0.25">
      <c r="A64" s="28">
        <v>43</v>
      </c>
      <c r="B64" s="33">
        <v>44958</v>
      </c>
      <c r="C64" s="31">
        <f t="shared" si="6"/>
        <v>4166.666666666667</v>
      </c>
      <c r="D64" s="31">
        <f t="shared" si="7"/>
        <v>3484.4907917023193</v>
      </c>
      <c r="E64" s="31">
        <f t="shared" si="3"/>
        <v>6257.4793589413803</v>
      </c>
      <c r="F64" s="31">
        <f t="shared" si="4"/>
        <v>175209.4220503589</v>
      </c>
      <c r="G64" s="31">
        <f t="shared" si="10"/>
        <v>457.92712957465744</v>
      </c>
      <c r="H64" s="32">
        <f t="shared" si="5"/>
        <v>110360.43822749244</v>
      </c>
      <c r="I64" s="29"/>
      <c r="J64" s="28">
        <v>19</v>
      </c>
      <c r="K64" s="31">
        <f t="shared" si="11"/>
        <v>4583.333333333333</v>
      </c>
      <c r="L64" s="31">
        <f t="shared" si="8"/>
        <v>4235.1737000366793</v>
      </c>
      <c r="M64" s="31">
        <f t="shared" si="9"/>
        <v>294.9990737188117</v>
      </c>
      <c r="N64" s="32">
        <f t="shared" si="12"/>
        <v>71094.776766233612</v>
      </c>
      <c r="P64" s="60"/>
      <c r="Q64" s="61"/>
      <c r="R64" s="40" t="s">
        <v>137</v>
      </c>
      <c r="S64" s="40"/>
      <c r="T64" s="40"/>
      <c r="U64" s="40"/>
      <c r="V64" s="40"/>
      <c r="W64" s="40"/>
      <c r="X64" s="29"/>
      <c r="Y64" s="42"/>
      <c r="Z64" s="42"/>
      <c r="AA64" s="42"/>
      <c r="AB64" s="42"/>
      <c r="AC64" s="42"/>
      <c r="AD64" s="29"/>
      <c r="AE64" s="43" t="s">
        <v>0</v>
      </c>
      <c r="AF64" s="43">
        <v>2241000</v>
      </c>
      <c r="AG64" s="43" t="s">
        <v>151</v>
      </c>
      <c r="AH64" s="43" t="s">
        <v>143</v>
      </c>
      <c r="AI64" s="45">
        <f>+N$44/3</f>
        <v>51187.774365275931</v>
      </c>
    </row>
    <row r="65" spans="1:35" x14ac:dyDescent="0.25">
      <c r="A65" s="28">
        <v>44</v>
      </c>
      <c r="B65" s="33">
        <v>44986</v>
      </c>
      <c r="C65" s="31">
        <f t="shared" si="6"/>
        <v>4166.666666666667</v>
      </c>
      <c r="D65" s="31">
        <f t="shared" si="7"/>
        <v>3470.0323236869563</v>
      </c>
      <c r="E65" s="31">
        <f t="shared" si="3"/>
        <v>6257.4793589413803</v>
      </c>
      <c r="F65" s="31">
        <f t="shared" si="4"/>
        <v>168951.94269141753</v>
      </c>
      <c r="G65" s="31">
        <f t="shared" si="10"/>
        <v>442.47404817010738</v>
      </c>
      <c r="H65" s="32">
        <f t="shared" si="5"/>
        <v>106636.24560899587</v>
      </c>
      <c r="I65" s="29"/>
      <c r="J65" s="28">
        <v>20</v>
      </c>
      <c r="K65" s="31">
        <f t="shared" si="11"/>
        <v>4583.333333333333</v>
      </c>
      <c r="L65" s="31">
        <f t="shared" si="8"/>
        <v>4217.6003651817555</v>
      </c>
      <c r="M65" s="31">
        <f t="shared" si="9"/>
        <v>277.13101430375116</v>
      </c>
      <c r="N65" s="32">
        <f t="shared" si="12"/>
        <v>66788.574447204039</v>
      </c>
      <c r="P65" s="60"/>
      <c r="Q65" s="61"/>
      <c r="R65" s="40" t="s">
        <v>138</v>
      </c>
      <c r="S65" s="40"/>
      <c r="T65" s="40"/>
      <c r="U65" s="40"/>
      <c r="V65" s="40"/>
      <c r="W65" s="40"/>
      <c r="X65" s="29"/>
      <c r="Y65" s="42"/>
      <c r="Z65" s="42"/>
      <c r="AA65" s="42"/>
      <c r="AB65" s="42"/>
      <c r="AC65" s="42"/>
      <c r="AD65" s="29"/>
      <c r="AE65" s="43" t="s">
        <v>1</v>
      </c>
      <c r="AF65" s="43" t="s">
        <v>164</v>
      </c>
      <c r="AG65" s="43" t="s">
        <v>151</v>
      </c>
      <c r="AH65" s="43" t="s">
        <v>105</v>
      </c>
      <c r="AI65" s="45">
        <f>-AI64</f>
        <v>-51187.774365275931</v>
      </c>
    </row>
    <row r="66" spans="1:35" x14ac:dyDescent="0.25">
      <c r="A66" s="28">
        <v>45</v>
      </c>
      <c r="B66" s="33">
        <v>45017</v>
      </c>
      <c r="C66" s="31">
        <f t="shared" si="6"/>
        <v>4166.666666666667</v>
      </c>
      <c r="D66" s="31">
        <f t="shared" si="7"/>
        <v>3455.6338493148119</v>
      </c>
      <c r="E66" s="31">
        <f t="shared" si="3"/>
        <v>6257.4793589413803</v>
      </c>
      <c r="F66" s="31">
        <f t="shared" si="4"/>
        <v>162694.46333247615</v>
      </c>
      <c r="G66" s="31">
        <f t="shared" si="10"/>
        <v>426.95657892637166</v>
      </c>
      <c r="H66" s="32">
        <f t="shared" si="5"/>
        <v>102896.53552125557</v>
      </c>
      <c r="I66" s="29"/>
      <c r="J66" s="28">
        <v>21</v>
      </c>
      <c r="K66" s="31">
        <f t="shared" si="11"/>
        <v>4583.333333333333</v>
      </c>
      <c r="L66" s="31">
        <f t="shared" si="8"/>
        <v>4200.099948728719</v>
      </c>
      <c r="M66" s="31">
        <f t="shared" si="9"/>
        <v>259.18850464112791</v>
      </c>
      <c r="N66" s="32">
        <f t="shared" si="12"/>
        <v>62464.429618511829</v>
      </c>
      <c r="P66" s="60"/>
      <c r="Q66" s="61"/>
      <c r="R66" s="40"/>
      <c r="S66" s="40"/>
      <c r="T66" s="40"/>
      <c r="U66" s="40"/>
      <c r="V66" s="40"/>
      <c r="W66" s="40"/>
      <c r="X66" s="29"/>
      <c r="Y66" s="42"/>
      <c r="Z66" s="42"/>
      <c r="AA66" s="42"/>
      <c r="AB66" s="42"/>
      <c r="AC66" s="42"/>
      <c r="AD66" s="29"/>
      <c r="AE66" s="43" t="s">
        <v>147</v>
      </c>
      <c r="AF66" s="43"/>
      <c r="AG66" s="43"/>
      <c r="AH66" s="43"/>
      <c r="AI66" s="44"/>
    </row>
    <row r="67" spans="1:35" x14ac:dyDescent="0.25">
      <c r="A67" s="28">
        <v>46</v>
      </c>
      <c r="B67" s="33">
        <v>45047</v>
      </c>
      <c r="C67" s="31">
        <f t="shared" si="6"/>
        <v>4166.666666666667</v>
      </c>
      <c r="D67" s="31">
        <f t="shared" si="7"/>
        <v>3441.2951196496051</v>
      </c>
      <c r="E67" s="31">
        <f t="shared" si="3"/>
        <v>6257.4793589413803</v>
      </c>
      <c r="F67" s="31">
        <f t="shared" si="4"/>
        <v>156436.98397353478</v>
      </c>
      <c r="G67" s="31">
        <f t="shared" si="10"/>
        <v>411.37445356078706</v>
      </c>
      <c r="H67" s="32">
        <f t="shared" si="5"/>
        <v>99141.243308149686</v>
      </c>
      <c r="I67" s="29"/>
      <c r="J67" s="28">
        <v>22</v>
      </c>
      <c r="K67" s="31">
        <f t="shared" si="11"/>
        <v>4583.333333333333</v>
      </c>
      <c r="L67" s="31">
        <f t="shared" si="8"/>
        <v>4182.6721481115883</v>
      </c>
      <c r="M67" s="31">
        <f t="shared" si="9"/>
        <v>241.17123452157705</v>
      </c>
      <c r="N67" s="32">
        <f t="shared" si="12"/>
        <v>58122.267519700072</v>
      </c>
      <c r="P67" s="60"/>
      <c r="Q67" s="61"/>
      <c r="R67" s="40"/>
      <c r="S67" s="40"/>
      <c r="T67" s="40"/>
      <c r="U67" s="40"/>
      <c r="V67" s="40"/>
      <c r="W67" s="40"/>
      <c r="X67" s="29"/>
      <c r="Y67" s="42"/>
      <c r="Z67" s="42"/>
      <c r="AA67" s="42"/>
      <c r="AB67" s="42"/>
      <c r="AC67" s="42"/>
      <c r="AD67" s="29"/>
      <c r="AE67" s="43"/>
      <c r="AF67" s="43"/>
      <c r="AG67" s="43"/>
      <c r="AH67" s="43"/>
      <c r="AI67" s="44"/>
    </row>
    <row r="68" spans="1:35" ht="15.75" thickBot="1" x14ac:dyDescent="0.3">
      <c r="A68" s="28">
        <v>47</v>
      </c>
      <c r="B68" s="33">
        <v>45078</v>
      </c>
      <c r="C68" s="31">
        <f t="shared" si="6"/>
        <v>4166.666666666667</v>
      </c>
      <c r="D68" s="31">
        <f t="shared" si="7"/>
        <v>3427.0158867879873</v>
      </c>
      <c r="E68" s="31">
        <f t="shared" si="3"/>
        <v>6257.4793589413803</v>
      </c>
      <c r="F68" s="31">
        <f t="shared" si="4"/>
        <v>150179.5046145934</v>
      </c>
      <c r="G68" s="31">
        <f t="shared" si="10"/>
        <v>395.72740267284587</v>
      </c>
      <c r="H68" s="32">
        <f t="shared" si="5"/>
        <v>95370.304044155855</v>
      </c>
      <c r="I68" s="29"/>
      <c r="J68" s="28">
        <v>23</v>
      </c>
      <c r="K68" s="31">
        <f t="shared" si="11"/>
        <v>4583.333333333333</v>
      </c>
      <c r="L68" s="31">
        <f t="shared" si="8"/>
        <v>4165.3166620198372</v>
      </c>
      <c r="M68" s="31">
        <f t="shared" si="9"/>
        <v>223.07889244319472</v>
      </c>
      <c r="N68" s="32">
        <f t="shared" si="12"/>
        <v>53762.013078809934</v>
      </c>
      <c r="P68" s="62"/>
      <c r="Q68" s="63"/>
      <c r="R68" s="47"/>
      <c r="S68" s="47"/>
      <c r="T68" s="47"/>
      <c r="U68" s="47"/>
      <c r="V68" s="47"/>
      <c r="W68" s="47"/>
      <c r="X68" s="36"/>
      <c r="Y68" s="48"/>
      <c r="Z68" s="48"/>
      <c r="AA68" s="48"/>
      <c r="AB68" s="48"/>
      <c r="AC68" s="48"/>
      <c r="AD68" s="36"/>
      <c r="AE68" s="49"/>
      <c r="AF68" s="49"/>
      <c r="AG68" s="49"/>
      <c r="AH68" s="49"/>
      <c r="AI68" s="50"/>
    </row>
    <row r="69" spans="1:35" x14ac:dyDescent="0.25">
      <c r="A69" s="28">
        <v>48</v>
      </c>
      <c r="B69" s="33">
        <v>45108</v>
      </c>
      <c r="C69" s="31">
        <f t="shared" si="6"/>
        <v>4166.666666666667</v>
      </c>
      <c r="D69" s="31">
        <f t="shared" si="7"/>
        <v>3412.7959038552576</v>
      </c>
      <c r="E69" s="31">
        <f t="shared" si="3"/>
        <v>6257.4793589413803</v>
      </c>
      <c r="F69" s="31">
        <f t="shared" si="4"/>
        <v>143922.02525565203</v>
      </c>
      <c r="G69" s="31">
        <f t="shared" si="10"/>
        <v>380.01515573953827</v>
      </c>
      <c r="H69" s="32">
        <f t="shared" si="5"/>
        <v>91583.652533228727</v>
      </c>
      <c r="I69" s="29"/>
      <c r="J69" s="28">
        <v>24</v>
      </c>
      <c r="K69" s="31">
        <f t="shared" si="11"/>
        <v>4583.333333333333</v>
      </c>
      <c r="L69" s="31">
        <f t="shared" si="8"/>
        <v>4148.0331903931992</v>
      </c>
      <c r="M69" s="31">
        <f t="shared" si="9"/>
        <v>204.91116560615248</v>
      </c>
      <c r="N69" s="32">
        <f t="shared" si="12"/>
        <v>49383.590911082749</v>
      </c>
      <c r="P69" s="39" t="s">
        <v>120</v>
      </c>
      <c r="Q69" s="64" t="s">
        <v>140</v>
      </c>
      <c r="R69" s="51" t="s">
        <v>0</v>
      </c>
      <c r="S69" s="51">
        <v>3240008</v>
      </c>
      <c r="T69" s="51"/>
      <c r="U69" s="51" t="s">
        <v>104</v>
      </c>
      <c r="V69" s="51"/>
      <c r="W69" s="52">
        <f>-W71-W70</f>
        <v>46495.746699783456</v>
      </c>
      <c r="X69" s="53"/>
      <c r="Y69" s="54" t="s">
        <v>0</v>
      </c>
      <c r="Z69" s="54"/>
      <c r="AA69" s="54"/>
      <c r="AB69" s="54" t="s">
        <v>31</v>
      </c>
      <c r="AC69" s="57">
        <f>SUM(K69:K80)</f>
        <v>55000.000000000007</v>
      </c>
      <c r="AD69" s="53"/>
      <c r="AE69" s="55" t="s">
        <v>0</v>
      </c>
      <c r="AF69" s="55">
        <v>3240008</v>
      </c>
      <c r="AG69" s="55" t="s">
        <v>152</v>
      </c>
      <c r="AH69" s="55" t="s">
        <v>104</v>
      </c>
      <c r="AI69" s="58">
        <f>-AI71-AI70</f>
        <v>53762.013078809985</v>
      </c>
    </row>
    <row r="70" spans="1:35" x14ac:dyDescent="0.25">
      <c r="A70" s="28">
        <v>49</v>
      </c>
      <c r="B70" s="33">
        <v>45139</v>
      </c>
      <c r="C70" s="31">
        <f t="shared" si="6"/>
        <v>4166.666666666667</v>
      </c>
      <c r="D70" s="31">
        <f t="shared" si="7"/>
        <v>3398.6349250010862</v>
      </c>
      <c r="E70" s="31">
        <f t="shared" si="3"/>
        <v>6257.4793589413803</v>
      </c>
      <c r="F70" s="31">
        <f t="shared" si="4"/>
        <v>137664.54589671065</v>
      </c>
      <c r="G70" s="31">
        <f t="shared" si="10"/>
        <v>364.23744111067521</v>
      </c>
      <c r="H70" s="32">
        <f t="shared" si="5"/>
        <v>87781.223307672728</v>
      </c>
      <c r="I70" s="29"/>
      <c r="J70" s="28">
        <v>25</v>
      </c>
      <c r="K70" s="31">
        <f t="shared" si="11"/>
        <v>4583.333333333333</v>
      </c>
      <c r="L70" s="31">
        <f t="shared" si="8"/>
        <v>4130.8214344164653</v>
      </c>
      <c r="M70" s="31">
        <f t="shared" si="9"/>
        <v>186.66773990728922</v>
      </c>
      <c r="N70" s="32">
        <f t="shared" si="12"/>
        <v>44986.9253176567</v>
      </c>
      <c r="P70" s="60"/>
      <c r="Q70" s="61"/>
      <c r="R70" s="40" t="s">
        <v>0</v>
      </c>
      <c r="S70" s="40">
        <v>2422020</v>
      </c>
      <c r="T70" s="40"/>
      <c r="U70" s="40" t="s">
        <v>161</v>
      </c>
      <c r="V70" s="40"/>
      <c r="W70" s="41">
        <f>SUM(G69:G80)</f>
        <v>3504.2533002165351</v>
      </c>
      <c r="X70" s="29"/>
      <c r="Y70" s="42" t="s">
        <v>1</v>
      </c>
      <c r="Z70" s="42">
        <v>1220017</v>
      </c>
      <c r="AA70" s="42" t="s">
        <v>152</v>
      </c>
      <c r="AB70" s="42" t="s">
        <v>160</v>
      </c>
      <c r="AC70" s="46">
        <f>-SUM(M69:M80)</f>
        <v>-1237.986921190025</v>
      </c>
      <c r="AD70" s="29"/>
      <c r="AE70" s="43" t="s">
        <v>0</v>
      </c>
      <c r="AF70" s="43">
        <v>2422020</v>
      </c>
      <c r="AG70" s="43"/>
      <c r="AH70" s="43" t="s">
        <v>161</v>
      </c>
      <c r="AI70" s="45">
        <f>SUM(M69:M80)</f>
        <v>1237.986921190025</v>
      </c>
    </row>
    <row r="71" spans="1:35" x14ac:dyDescent="0.25">
      <c r="A71" s="28">
        <v>50</v>
      </c>
      <c r="B71" s="33">
        <v>45170</v>
      </c>
      <c r="C71" s="31">
        <f t="shared" si="6"/>
        <v>4166.666666666667</v>
      </c>
      <c r="D71" s="31">
        <f t="shared" si="7"/>
        <v>3384.5327053952733</v>
      </c>
      <c r="E71" s="31">
        <f t="shared" si="3"/>
        <v>6257.4793589413803</v>
      </c>
      <c r="F71" s="31">
        <f t="shared" si="4"/>
        <v>131407.06653776928</v>
      </c>
      <c r="G71" s="31">
        <f t="shared" si="10"/>
        <v>348.3939860041919</v>
      </c>
      <c r="H71" s="32">
        <f t="shared" si="5"/>
        <v>83962.950627010243</v>
      </c>
      <c r="I71" s="29"/>
      <c r="J71" s="28">
        <v>26</v>
      </c>
      <c r="K71" s="31">
        <f t="shared" si="11"/>
        <v>4583.333333333333</v>
      </c>
      <c r="L71" s="31">
        <f t="shared" si="8"/>
        <v>4113.6810965143204</v>
      </c>
      <c r="M71" s="31">
        <f t="shared" si="9"/>
        <v>168.34829993468068</v>
      </c>
      <c r="N71" s="32">
        <f t="shared" si="12"/>
        <v>40571.940284258046</v>
      </c>
      <c r="P71" s="60"/>
      <c r="Q71" s="61"/>
      <c r="R71" s="40" t="s">
        <v>1</v>
      </c>
      <c r="S71" s="40"/>
      <c r="T71" s="40"/>
      <c r="U71" s="40" t="s">
        <v>31</v>
      </c>
      <c r="V71" s="40"/>
      <c r="W71" s="41">
        <f>-SUM(C69:C80)</f>
        <v>-49999.999999999993</v>
      </c>
      <c r="X71" s="29"/>
      <c r="Y71" s="42" t="s">
        <v>1</v>
      </c>
      <c r="Z71" s="42">
        <v>5233027</v>
      </c>
      <c r="AA71" s="42" t="s">
        <v>152</v>
      </c>
      <c r="AB71" s="42" t="s">
        <v>30</v>
      </c>
      <c r="AC71" s="46">
        <f>-AC69-AC70</f>
        <v>-53762.013078809985</v>
      </c>
      <c r="AD71" s="29"/>
      <c r="AE71" s="43" t="s">
        <v>1</v>
      </c>
      <c r="AF71" s="43"/>
      <c r="AG71" s="43"/>
      <c r="AH71" s="43" t="s">
        <v>31</v>
      </c>
      <c r="AI71" s="45">
        <f>-SUM(K69:K80)</f>
        <v>-55000.000000000007</v>
      </c>
    </row>
    <row r="72" spans="1:35" x14ac:dyDescent="0.25">
      <c r="A72" s="28">
        <v>51</v>
      </c>
      <c r="B72" s="33">
        <v>45200</v>
      </c>
      <c r="C72" s="31">
        <f t="shared" si="6"/>
        <v>4166.666666666667</v>
      </c>
      <c r="D72" s="31">
        <f t="shared" si="7"/>
        <v>3370.4890012235082</v>
      </c>
      <c r="E72" s="31">
        <f t="shared" si="3"/>
        <v>6257.4793589413803</v>
      </c>
      <c r="F72" s="31">
        <f t="shared" si="4"/>
        <v>125149.5871788279</v>
      </c>
      <c r="G72" s="31">
        <f t="shared" si="10"/>
        <v>332.48451650143153</v>
      </c>
      <c r="H72" s="32">
        <f t="shared" si="5"/>
        <v>80128.768476844998</v>
      </c>
      <c r="I72" s="29"/>
      <c r="J72" s="28">
        <v>27</v>
      </c>
      <c r="K72" s="31">
        <f t="shared" si="11"/>
        <v>4583.333333333333</v>
      </c>
      <c r="L72" s="31">
        <f t="shared" si="8"/>
        <v>4096.6118803462123</v>
      </c>
      <c r="M72" s="31">
        <f t="shared" si="9"/>
        <v>149.95252896218628</v>
      </c>
      <c r="N72" s="32">
        <f t="shared" si="12"/>
        <v>36138.559479886899</v>
      </c>
      <c r="P72" s="60"/>
      <c r="Q72" s="61"/>
      <c r="R72" s="40" t="s">
        <v>148</v>
      </c>
      <c r="S72" s="40"/>
      <c r="T72" s="40"/>
      <c r="U72" s="40"/>
      <c r="V72" s="40"/>
      <c r="W72" s="40"/>
      <c r="X72" s="29"/>
      <c r="Y72" s="42" t="s">
        <v>153</v>
      </c>
      <c r="Z72" s="42"/>
      <c r="AA72" s="42"/>
      <c r="AB72" s="42"/>
      <c r="AC72" s="42"/>
      <c r="AD72" s="29"/>
      <c r="AE72" s="43" t="s">
        <v>153</v>
      </c>
      <c r="AF72" s="43"/>
      <c r="AG72" s="43"/>
      <c r="AH72" s="43"/>
      <c r="AI72" s="44"/>
    </row>
    <row r="73" spans="1:35" x14ac:dyDescent="0.25">
      <c r="A73" s="28">
        <v>52</v>
      </c>
      <c r="B73" s="33">
        <v>45231</v>
      </c>
      <c r="C73" s="31">
        <f t="shared" si="6"/>
        <v>4166.666666666667</v>
      </c>
      <c r="D73" s="31">
        <f t="shared" si="7"/>
        <v>3356.503569683161</v>
      </c>
      <c r="E73" s="31">
        <f t="shared" si="3"/>
        <v>6257.4793589413803</v>
      </c>
      <c r="F73" s="31">
        <f t="shared" si="4"/>
        <v>118892.10781988653</v>
      </c>
      <c r="G73" s="31">
        <f t="shared" si="10"/>
        <v>316.50875754240968</v>
      </c>
      <c r="H73" s="32">
        <f t="shared" si="5"/>
        <v>76278.610567720738</v>
      </c>
      <c r="I73" s="29"/>
      <c r="J73" s="28">
        <v>28</v>
      </c>
      <c r="K73" s="31">
        <f t="shared" si="11"/>
        <v>4583.333333333333</v>
      </c>
      <c r="L73" s="31">
        <f t="shared" si="8"/>
        <v>4079.6134908012073</v>
      </c>
      <c r="M73" s="31">
        <f t="shared" si="9"/>
        <v>131.48010894397319</v>
      </c>
      <c r="N73" s="32">
        <f t="shared" si="12"/>
        <v>31686.706255497538</v>
      </c>
      <c r="P73" s="60"/>
      <c r="Q73" s="61"/>
      <c r="R73" s="40"/>
      <c r="S73" s="40"/>
      <c r="T73" s="40"/>
      <c r="U73" s="40"/>
      <c r="V73" s="40"/>
      <c r="W73" s="40"/>
      <c r="X73" s="29"/>
      <c r="Y73" s="42"/>
      <c r="Z73" s="42"/>
      <c r="AA73" s="42"/>
      <c r="AB73" s="42"/>
      <c r="AC73" s="42"/>
      <c r="AD73" s="29"/>
      <c r="AE73" s="43"/>
      <c r="AF73" s="43"/>
      <c r="AG73" s="43"/>
      <c r="AH73" s="43"/>
      <c r="AI73" s="44"/>
    </row>
    <row r="74" spans="1:35" x14ac:dyDescent="0.25">
      <c r="A74" s="28">
        <v>53</v>
      </c>
      <c r="B74" s="33">
        <v>45261</v>
      </c>
      <c r="C74" s="31">
        <f t="shared" si="6"/>
        <v>4166.666666666667</v>
      </c>
      <c r="D74" s="31">
        <f t="shared" si="7"/>
        <v>3342.576168979082</v>
      </c>
      <c r="E74" s="31">
        <f t="shared" si="3"/>
        <v>6257.4793589413803</v>
      </c>
      <c r="F74" s="31">
        <f t="shared" si="4"/>
        <v>112634.62846094515</v>
      </c>
      <c r="G74" s="31">
        <f t="shared" si="10"/>
        <v>300.46643292105858</v>
      </c>
      <c r="H74" s="32">
        <f t="shared" si="5"/>
        <v>72412.410333975131</v>
      </c>
      <c r="I74" s="29"/>
      <c r="J74" s="28">
        <v>29</v>
      </c>
      <c r="K74" s="31">
        <f t="shared" si="11"/>
        <v>4583.333333333333</v>
      </c>
      <c r="L74" s="31">
        <f t="shared" si="8"/>
        <v>4062.6856339929036</v>
      </c>
      <c r="M74" s="31">
        <f t="shared" si="9"/>
        <v>112.93072050901752</v>
      </c>
      <c r="N74" s="32">
        <f t="shared" si="12"/>
        <v>27216.303642673225</v>
      </c>
      <c r="P74" s="60"/>
      <c r="Q74" s="61"/>
      <c r="R74" s="40" t="s">
        <v>137</v>
      </c>
      <c r="S74" s="40"/>
      <c r="T74" s="40"/>
      <c r="U74" s="40"/>
      <c r="V74" s="40"/>
      <c r="W74" s="40"/>
      <c r="X74" s="29"/>
      <c r="Y74" s="42"/>
      <c r="Z74" s="42"/>
      <c r="AA74" s="42"/>
      <c r="AB74" s="42"/>
      <c r="AC74" s="42"/>
      <c r="AD74" s="29"/>
      <c r="AE74" s="43" t="s">
        <v>0</v>
      </c>
      <c r="AF74" s="43">
        <v>2241000</v>
      </c>
      <c r="AG74" s="43" t="s">
        <v>151</v>
      </c>
      <c r="AH74" s="43" t="s">
        <v>143</v>
      </c>
      <c r="AI74" s="45">
        <f>+N$44/3</f>
        <v>51187.774365275931</v>
      </c>
    </row>
    <row r="75" spans="1:35" x14ac:dyDescent="0.25">
      <c r="A75" s="28">
        <v>54</v>
      </c>
      <c r="B75" s="33">
        <v>45292</v>
      </c>
      <c r="C75" s="31">
        <f t="shared" si="6"/>
        <v>4166.666666666667</v>
      </c>
      <c r="D75" s="31">
        <f t="shared" si="7"/>
        <v>3328.7065583194176</v>
      </c>
      <c r="E75" s="31">
        <f t="shared" si="3"/>
        <v>6257.4793589413803</v>
      </c>
      <c r="F75" s="31">
        <f t="shared" si="4"/>
        <v>106377.14910200378</v>
      </c>
      <c r="G75" s="31">
        <f t="shared" si="10"/>
        <v>284.35726528045188</v>
      </c>
      <c r="H75" s="32">
        <f t="shared" si="5"/>
        <v>68530.100932588917</v>
      </c>
      <c r="I75" s="29"/>
      <c r="J75" s="28">
        <v>30</v>
      </c>
      <c r="K75" s="31">
        <f t="shared" si="11"/>
        <v>4583.333333333333</v>
      </c>
      <c r="L75" s="31">
        <f t="shared" si="8"/>
        <v>4045.8280172543441</v>
      </c>
      <c r="M75" s="31">
        <f t="shared" si="9"/>
        <v>94.304042955582887</v>
      </c>
      <c r="N75" s="32">
        <f t="shared" si="12"/>
        <v>22727.274352295477</v>
      </c>
      <c r="P75" s="60"/>
      <c r="Q75" s="61"/>
      <c r="R75" s="40" t="s">
        <v>138</v>
      </c>
      <c r="S75" s="40"/>
      <c r="T75" s="40"/>
      <c r="U75" s="40"/>
      <c r="V75" s="40"/>
      <c r="W75" s="40"/>
      <c r="X75" s="29"/>
      <c r="Y75" s="42"/>
      <c r="Z75" s="42"/>
      <c r="AA75" s="42"/>
      <c r="AB75" s="42"/>
      <c r="AC75" s="42"/>
      <c r="AD75" s="29"/>
      <c r="AE75" s="43" t="s">
        <v>1</v>
      </c>
      <c r="AF75" s="43" t="s">
        <v>164</v>
      </c>
      <c r="AG75" s="43" t="s">
        <v>151</v>
      </c>
      <c r="AH75" s="43" t="s">
        <v>105</v>
      </c>
      <c r="AI75" s="45">
        <f>-AI74</f>
        <v>-51187.774365275931</v>
      </c>
    </row>
    <row r="76" spans="1:35" x14ac:dyDescent="0.25">
      <c r="A76" s="28">
        <v>55</v>
      </c>
      <c r="B76" s="33">
        <v>45323</v>
      </c>
      <c r="C76" s="31">
        <f t="shared" si="6"/>
        <v>4166.666666666667</v>
      </c>
      <c r="D76" s="31">
        <f t="shared" si="7"/>
        <v>3314.8944979114526</v>
      </c>
      <c r="E76" s="31">
        <f t="shared" si="3"/>
        <v>6257.4793589413803</v>
      </c>
      <c r="F76" s="31">
        <f t="shared" si="4"/>
        <v>100119.6697430624</v>
      </c>
      <c r="G76" s="31">
        <f t="shared" si="10"/>
        <v>268.18097610800936</v>
      </c>
      <c r="H76" s="32">
        <f t="shared" si="5"/>
        <v>64631.615242030261</v>
      </c>
      <c r="I76" s="29"/>
      <c r="J76" s="28">
        <v>31</v>
      </c>
      <c r="K76" s="31">
        <f t="shared" si="11"/>
        <v>4583.333333333333</v>
      </c>
      <c r="L76" s="31">
        <f t="shared" si="8"/>
        <v>4029.0403491329548</v>
      </c>
      <c r="M76" s="31">
        <f t="shared" si="9"/>
        <v>75.599754245675598</v>
      </c>
      <c r="N76" s="32">
        <f t="shared" si="12"/>
        <v>18219.54077320782</v>
      </c>
      <c r="P76" s="60"/>
      <c r="Q76" s="61"/>
      <c r="R76" s="40"/>
      <c r="S76" s="40"/>
      <c r="T76" s="40"/>
      <c r="U76" s="40"/>
      <c r="V76" s="40"/>
      <c r="W76" s="40"/>
      <c r="X76" s="29"/>
      <c r="Y76" s="42"/>
      <c r="Z76" s="42"/>
      <c r="AA76" s="42"/>
      <c r="AB76" s="42"/>
      <c r="AC76" s="42"/>
      <c r="AD76" s="29"/>
      <c r="AE76" s="43" t="s">
        <v>154</v>
      </c>
      <c r="AF76" s="43"/>
      <c r="AG76" s="43"/>
      <c r="AH76" s="43"/>
      <c r="AI76" s="44"/>
    </row>
    <row r="77" spans="1:35" x14ac:dyDescent="0.25">
      <c r="A77" s="28">
        <v>56</v>
      </c>
      <c r="B77" s="33">
        <v>45352</v>
      </c>
      <c r="C77" s="31">
        <f t="shared" si="6"/>
        <v>4166.666666666667</v>
      </c>
      <c r="D77" s="31">
        <f t="shared" si="7"/>
        <v>3301.1397489574638</v>
      </c>
      <c r="E77" s="31">
        <f t="shared" si="3"/>
        <v>6257.4793589413803</v>
      </c>
      <c r="F77" s="31">
        <f t="shared" si="4"/>
        <v>93862.19038412103</v>
      </c>
      <c r="G77" s="31">
        <f t="shared" si="10"/>
        <v>251.93728573068165</v>
      </c>
      <c r="H77" s="32">
        <f t="shared" si="5"/>
        <v>60716.885861094277</v>
      </c>
      <c r="I77" s="29"/>
      <c r="J77" s="28">
        <v>32</v>
      </c>
      <c r="K77" s="31">
        <f t="shared" si="11"/>
        <v>4583.333333333333</v>
      </c>
      <c r="L77" s="31">
        <f t="shared" si="8"/>
        <v>4012.322339385516</v>
      </c>
      <c r="M77" s="31">
        <f t="shared" si="9"/>
        <v>56.817530999477036</v>
      </c>
      <c r="N77" s="32">
        <f t="shared" si="12"/>
        <v>13693.024970873965</v>
      </c>
      <c r="P77" s="60"/>
      <c r="Q77" s="61"/>
      <c r="R77" s="40"/>
      <c r="S77" s="40"/>
      <c r="T77" s="40"/>
      <c r="U77" s="40"/>
      <c r="V77" s="40"/>
      <c r="W77" s="40"/>
      <c r="X77" s="29"/>
      <c r="Y77" s="42"/>
      <c r="Z77" s="42"/>
      <c r="AA77" s="42"/>
      <c r="AB77" s="42"/>
      <c r="AC77" s="42"/>
      <c r="AD77" s="29"/>
      <c r="AE77" s="43"/>
      <c r="AF77" s="43"/>
      <c r="AG77" s="43"/>
      <c r="AH77" s="43"/>
      <c r="AI77" s="44"/>
    </row>
    <row r="78" spans="1:35" x14ac:dyDescent="0.25">
      <c r="A78" s="28">
        <v>57</v>
      </c>
      <c r="B78" s="33">
        <v>45383</v>
      </c>
      <c r="C78" s="31">
        <f t="shared" si="6"/>
        <v>4166.666666666667</v>
      </c>
      <c r="D78" s="31">
        <f t="shared" si="7"/>
        <v>3287.4420736505867</v>
      </c>
      <c r="E78" s="31">
        <f t="shared" si="3"/>
        <v>6257.4793589413803</v>
      </c>
      <c r="F78" s="31">
        <f t="shared" si="4"/>
        <v>87604.711025179655</v>
      </c>
      <c r="G78" s="31">
        <f t="shared" si="10"/>
        <v>235.62591331011504</v>
      </c>
      <c r="H78" s="32">
        <f t="shared" si="5"/>
        <v>56785.845107737725</v>
      </c>
      <c r="I78" s="29"/>
      <c r="J78" s="28">
        <v>33</v>
      </c>
      <c r="K78" s="31">
        <f t="shared" si="11"/>
        <v>4583.333333333333</v>
      </c>
      <c r="L78" s="31">
        <f t="shared" si="8"/>
        <v>3995.673698973128</v>
      </c>
      <c r="M78" s="31">
        <f t="shared" si="9"/>
        <v>37.957048489752637</v>
      </c>
      <c r="N78" s="32">
        <f t="shared" si="12"/>
        <v>9147.6486860303849</v>
      </c>
      <c r="P78" s="60"/>
      <c r="Q78" s="61"/>
      <c r="R78" s="40"/>
      <c r="S78" s="40"/>
      <c r="T78" s="40"/>
      <c r="U78" s="40"/>
      <c r="V78" s="40"/>
      <c r="W78" s="40"/>
      <c r="X78" s="29"/>
      <c r="Y78" s="42"/>
      <c r="Z78" s="42"/>
      <c r="AA78" s="42"/>
      <c r="AB78" s="42"/>
      <c r="AC78" s="42"/>
      <c r="AD78" s="29"/>
      <c r="AE78" s="43"/>
      <c r="AF78" s="43"/>
      <c r="AG78" s="43"/>
      <c r="AH78" s="43"/>
      <c r="AI78" s="44"/>
    </row>
    <row r="79" spans="1:35" x14ac:dyDescent="0.25">
      <c r="A79" s="28">
        <v>58</v>
      </c>
      <c r="B79" s="33">
        <v>45413</v>
      </c>
      <c r="C79" s="31">
        <f t="shared" si="6"/>
        <v>4166.666666666667</v>
      </c>
      <c r="D79" s="31">
        <f t="shared" si="7"/>
        <v>3273.801235170708</v>
      </c>
      <c r="E79" s="31">
        <f t="shared" si="3"/>
        <v>6257.4793589413803</v>
      </c>
      <c r="F79" s="31">
        <f t="shared" si="4"/>
        <v>81347.23166623828</v>
      </c>
      <c r="G79" s="31">
        <f t="shared" si="10"/>
        <v>219.24657683779608</v>
      </c>
      <c r="H79" s="32">
        <f t="shared" si="5"/>
        <v>52838.425017908856</v>
      </c>
      <c r="I79" s="29"/>
      <c r="J79" s="28">
        <v>34</v>
      </c>
      <c r="K79" s="31">
        <f t="shared" si="11"/>
        <v>4583.333333333333</v>
      </c>
      <c r="L79" s="31">
        <f t="shared" si="8"/>
        <v>3979.0941400562274</v>
      </c>
      <c r="M79" s="31">
        <f t="shared" si="9"/>
        <v>19.017980636237716</v>
      </c>
      <c r="N79" s="32">
        <f t="shared" si="12"/>
        <v>4583.3333333332894</v>
      </c>
      <c r="P79" s="60"/>
      <c r="Q79" s="61"/>
      <c r="R79" s="40"/>
      <c r="S79" s="40"/>
      <c r="T79" s="40"/>
      <c r="U79" s="40"/>
      <c r="V79" s="40"/>
      <c r="W79" s="40"/>
      <c r="X79" s="29"/>
      <c r="Y79" s="42"/>
      <c r="Z79" s="42"/>
      <c r="AA79" s="42"/>
      <c r="AB79" s="42"/>
      <c r="AC79" s="42"/>
      <c r="AD79" s="29"/>
      <c r="AE79" s="43"/>
      <c r="AF79" s="43"/>
      <c r="AG79" s="43"/>
      <c r="AH79" s="43"/>
      <c r="AI79" s="44"/>
    </row>
    <row r="80" spans="1:35" ht="15.75" thickBot="1" x14ac:dyDescent="0.3">
      <c r="A80" s="28">
        <v>59</v>
      </c>
      <c r="B80" s="33">
        <v>45444</v>
      </c>
      <c r="C80" s="31">
        <f t="shared" si="6"/>
        <v>4166.666666666667</v>
      </c>
      <c r="D80" s="31">
        <f t="shared" si="7"/>
        <v>3260.2169976803734</v>
      </c>
      <c r="E80" s="31">
        <f t="shared" si="3"/>
        <v>6257.4793589413803</v>
      </c>
      <c r="F80" s="31">
        <f t="shared" si="4"/>
        <v>75089.752307296905</v>
      </c>
      <c r="G80" s="31">
        <f t="shared" si="10"/>
        <v>202.7989931301758</v>
      </c>
      <c r="H80" s="32">
        <f t="shared" si="5"/>
        <v>48874.55734437237</v>
      </c>
      <c r="I80" s="29"/>
      <c r="J80" s="28">
        <v>35</v>
      </c>
      <c r="K80" s="31">
        <f t="shared" si="11"/>
        <v>4583.333333333333</v>
      </c>
      <c r="L80" s="31">
        <f t="shared" si="8"/>
        <v>3962.5833759896032</v>
      </c>
      <c r="M80" s="31">
        <f t="shared" si="9"/>
        <v>-1.8189894035458566E-13</v>
      </c>
      <c r="N80" s="32">
        <f t="shared" si="12"/>
        <v>-4.3837644625455144E-11</v>
      </c>
      <c r="P80" s="62"/>
      <c r="Q80" s="63"/>
      <c r="R80" s="47"/>
      <c r="S80" s="47"/>
      <c r="T80" s="47"/>
      <c r="U80" s="47"/>
      <c r="V80" s="47"/>
      <c r="W80" s="47"/>
      <c r="X80" s="36"/>
      <c r="Y80" s="48"/>
      <c r="Z80" s="48"/>
      <c r="AA80" s="48"/>
      <c r="AB80" s="48"/>
      <c r="AC80" s="48"/>
      <c r="AD80" s="36"/>
      <c r="AE80" s="49"/>
      <c r="AF80" s="49"/>
      <c r="AG80" s="49"/>
      <c r="AH80" s="49"/>
      <c r="AI80" s="50"/>
    </row>
    <row r="81" spans="1:35" x14ac:dyDescent="0.25">
      <c r="A81" s="28">
        <v>60</v>
      </c>
      <c r="B81" s="33">
        <v>45474</v>
      </c>
      <c r="C81" s="31">
        <f t="shared" si="6"/>
        <v>4166.666666666667</v>
      </c>
      <c r="D81" s="31">
        <f t="shared" si="7"/>
        <v>3246.689126320704</v>
      </c>
      <c r="E81" s="31">
        <f t="shared" si="3"/>
        <v>6257.4793589413803</v>
      </c>
      <c r="F81" s="31">
        <f t="shared" si="4"/>
        <v>68832.27294835553</v>
      </c>
      <c r="G81" s="31">
        <f t="shared" si="10"/>
        <v>186.28287782377376</v>
      </c>
      <c r="H81" s="32">
        <f t="shared" si="5"/>
        <v>44894.17355552948</v>
      </c>
      <c r="I81" s="29"/>
      <c r="J81" s="28"/>
      <c r="K81" s="30">
        <f>SUM(K45:K80)</f>
        <v>165000.00000000003</v>
      </c>
      <c r="L81" s="30">
        <f t="shared" ref="L81:M81" si="13">SUM(L45:L80)</f>
        <v>153563.3230958278</v>
      </c>
      <c r="M81" s="30">
        <f t="shared" si="13"/>
        <v>11436.676904172118</v>
      </c>
      <c r="N81" s="34"/>
      <c r="P81" s="60" t="s">
        <v>122</v>
      </c>
      <c r="Q81" s="61" t="s">
        <v>141</v>
      </c>
      <c r="R81" s="51" t="s">
        <v>0</v>
      </c>
      <c r="S81" s="51">
        <v>2241000</v>
      </c>
      <c r="T81" s="51"/>
      <c r="U81" s="51" t="s">
        <v>143</v>
      </c>
      <c r="V81" s="51"/>
      <c r="W81" s="52">
        <v>43299.650959244573</v>
      </c>
      <c r="X81" s="29"/>
      <c r="Y81" s="42"/>
      <c r="Z81" s="42"/>
      <c r="AA81" s="42"/>
      <c r="AB81" s="42"/>
      <c r="AC81" s="42"/>
      <c r="AD81" s="29"/>
      <c r="AE81" s="43"/>
      <c r="AF81" s="43"/>
      <c r="AG81" s="43"/>
      <c r="AH81" s="43"/>
      <c r="AI81" s="44"/>
    </row>
    <row r="82" spans="1:35" x14ac:dyDescent="0.25">
      <c r="A82" s="28">
        <v>61</v>
      </c>
      <c r="B82" s="33">
        <v>45505</v>
      </c>
      <c r="C82" s="31">
        <f t="shared" si="6"/>
        <v>4166.666666666667</v>
      </c>
      <c r="D82" s="31">
        <f t="shared" si="7"/>
        <v>3233.2173872073399</v>
      </c>
      <c r="E82" s="31">
        <f t="shared" si="3"/>
        <v>6257.4793589413803</v>
      </c>
      <c r="F82" s="31">
        <f t="shared" si="4"/>
        <v>62574.793589414148</v>
      </c>
      <c r="G82" s="31">
        <f t="shared" si="10"/>
        <v>169.69794537026172</v>
      </c>
      <c r="H82" s="32">
        <f t="shared" si="5"/>
        <v>40897.204834233075</v>
      </c>
      <c r="I82" s="29"/>
      <c r="J82" s="28"/>
      <c r="K82" s="31"/>
      <c r="L82" s="31"/>
      <c r="M82" s="31"/>
      <c r="N82" s="32"/>
      <c r="P82" s="60"/>
      <c r="Q82" s="61"/>
      <c r="R82" s="40" t="s">
        <v>1</v>
      </c>
      <c r="S82" s="40" t="s">
        <v>164</v>
      </c>
      <c r="T82" s="40"/>
      <c r="U82" s="40" t="s">
        <v>105</v>
      </c>
      <c r="V82" s="40"/>
      <c r="W82" s="41">
        <v>-43299.650959244573</v>
      </c>
      <c r="X82" s="29"/>
      <c r="Y82" s="42"/>
      <c r="Z82" s="42"/>
      <c r="AA82" s="42"/>
      <c r="AB82" s="42"/>
      <c r="AC82" s="42"/>
      <c r="AD82" s="29"/>
      <c r="AE82" s="43"/>
      <c r="AF82" s="43"/>
      <c r="AG82" s="43"/>
      <c r="AH82" s="43"/>
      <c r="AI82" s="44"/>
    </row>
    <row r="83" spans="1:35" x14ac:dyDescent="0.25">
      <c r="A83" s="28">
        <v>62</v>
      </c>
      <c r="B83" s="33">
        <v>45536</v>
      </c>
      <c r="C83" s="31">
        <f t="shared" si="6"/>
        <v>4166.666666666667</v>
      </c>
      <c r="D83" s="31">
        <f t="shared" si="7"/>
        <v>3219.8015474263971</v>
      </c>
      <c r="E83" s="31">
        <f t="shared" si="3"/>
        <v>6257.4793589413803</v>
      </c>
      <c r="F83" s="31">
        <f t="shared" si="4"/>
        <v>56317.314230472766</v>
      </c>
      <c r="G83" s="31">
        <f t="shared" si="10"/>
        <v>153.04390903152671</v>
      </c>
      <c r="H83" s="32">
        <f t="shared" si="5"/>
        <v>36883.582076597937</v>
      </c>
      <c r="I83" s="29"/>
      <c r="J83" s="28"/>
      <c r="K83" s="31"/>
      <c r="L83" s="31"/>
      <c r="M83" s="31"/>
      <c r="N83" s="32"/>
      <c r="P83" s="60"/>
      <c r="Q83" s="61"/>
      <c r="R83" s="40" t="s">
        <v>149</v>
      </c>
      <c r="S83" s="40"/>
      <c r="T83" s="40"/>
      <c r="U83" s="40"/>
      <c r="V83" s="40"/>
      <c r="W83" s="41"/>
      <c r="X83" s="29"/>
      <c r="Y83" s="42"/>
      <c r="Z83" s="42"/>
      <c r="AA83" s="42"/>
      <c r="AB83" s="42"/>
      <c r="AC83" s="42"/>
      <c r="AD83" s="29"/>
      <c r="AE83" s="43"/>
      <c r="AF83" s="43"/>
      <c r="AG83" s="43"/>
      <c r="AH83" s="43"/>
      <c r="AI83" s="44"/>
    </row>
    <row r="84" spans="1:35" x14ac:dyDescent="0.25">
      <c r="A84" s="28">
        <v>63</v>
      </c>
      <c r="B84" s="33">
        <v>45566</v>
      </c>
      <c r="C84" s="31">
        <f t="shared" si="6"/>
        <v>4166.666666666667</v>
      </c>
      <c r="D84" s="31">
        <f t="shared" si="7"/>
        <v>3206.4413750304348</v>
      </c>
      <c r="E84" s="31">
        <f t="shared" si="3"/>
        <v>6257.4793589413803</v>
      </c>
      <c r="F84" s="31">
        <f t="shared" si="4"/>
        <v>50059.834871531384</v>
      </c>
      <c r="G84" s="31">
        <f t="shared" si="10"/>
        <v>136.32048087471361</v>
      </c>
      <c r="H84" s="32">
        <f t="shared" si="5"/>
        <v>32853.235890805983</v>
      </c>
      <c r="I84" s="29"/>
      <c r="J84" s="28"/>
      <c r="K84" s="31"/>
      <c r="L84" s="31"/>
      <c r="M84" s="31"/>
      <c r="N84" s="32"/>
      <c r="P84" s="60"/>
      <c r="Q84" s="61"/>
      <c r="R84" s="40"/>
      <c r="S84" s="40"/>
      <c r="T84" s="40"/>
      <c r="U84" s="40"/>
      <c r="V84" s="40"/>
      <c r="W84" s="41"/>
      <c r="X84" s="29"/>
      <c r="Y84" s="42"/>
      <c r="Z84" s="42"/>
      <c r="AA84" s="42"/>
      <c r="AB84" s="42"/>
      <c r="AC84" s="42"/>
      <c r="AD84" s="29"/>
      <c r="AE84" s="43"/>
      <c r="AF84" s="43"/>
      <c r="AG84" s="43"/>
      <c r="AH84" s="43"/>
      <c r="AI84" s="44"/>
    </row>
    <row r="85" spans="1:35" x14ac:dyDescent="0.25">
      <c r="A85" s="28">
        <v>64</v>
      </c>
      <c r="B85" s="33">
        <v>45597</v>
      </c>
      <c r="C85" s="31">
        <f t="shared" si="6"/>
        <v>4166.666666666667</v>
      </c>
      <c r="D85" s="31">
        <f t="shared" si="7"/>
        <v>3193.1366390344592</v>
      </c>
      <c r="E85" s="31">
        <f t="shared" si="3"/>
        <v>6257.4793589413803</v>
      </c>
      <c r="F85" s="31">
        <f t="shared" ref="F85:F92" si="14">+F84-E85</f>
        <v>43802.355512590002</v>
      </c>
      <c r="G85" s="31">
        <f t="shared" si="10"/>
        <v>119.52737176724715</v>
      </c>
      <c r="H85" s="32">
        <f t="shared" ref="H85:H92" si="15">+H84-C85+G85</f>
        <v>28806.096595906562</v>
      </c>
      <c r="I85" s="29"/>
      <c r="J85" s="28"/>
      <c r="K85" s="31"/>
      <c r="L85" s="31"/>
      <c r="M85" s="31"/>
      <c r="N85" s="32"/>
      <c r="P85" s="60"/>
      <c r="Q85" s="61"/>
      <c r="R85" s="40" t="s">
        <v>0</v>
      </c>
      <c r="S85" s="40">
        <v>3240008</v>
      </c>
      <c r="T85" s="40"/>
      <c r="U85" s="40" t="s">
        <v>104</v>
      </c>
      <c r="V85" s="40"/>
      <c r="W85" s="41">
        <f>-W87-W86</f>
        <v>48874.557344372712</v>
      </c>
      <c r="X85" s="29"/>
      <c r="Y85" s="42"/>
      <c r="Z85" s="42"/>
      <c r="AA85" s="42"/>
      <c r="AB85" s="42"/>
      <c r="AC85" s="42"/>
      <c r="AD85" s="29"/>
      <c r="AE85" s="43"/>
      <c r="AF85" s="43"/>
      <c r="AG85" s="43"/>
      <c r="AH85" s="43"/>
      <c r="AI85" s="44"/>
    </row>
    <row r="86" spans="1:35" x14ac:dyDescent="0.25">
      <c r="A86" s="28">
        <v>65</v>
      </c>
      <c r="B86" s="33">
        <v>45627</v>
      </c>
      <c r="C86" s="31">
        <f t="shared" ref="C86:C92" si="16">50000/12</f>
        <v>4166.666666666667</v>
      </c>
      <c r="D86" s="31">
        <f t="shared" si="7"/>
        <v>3179.8871094119095</v>
      </c>
      <c r="E86" s="31">
        <f t="shared" ref="E86:E92" si="17">+F$19/72</f>
        <v>6257.4793589413803</v>
      </c>
      <c r="F86" s="31">
        <f t="shared" si="14"/>
        <v>37544.87615364862</v>
      </c>
      <c r="G86" s="31">
        <f t="shared" si="10"/>
        <v>102.66429137183289</v>
      </c>
      <c r="H86" s="32">
        <f t="shared" si="15"/>
        <v>24742.094220611725</v>
      </c>
      <c r="I86" s="29"/>
      <c r="J86" s="28"/>
      <c r="K86" s="31"/>
      <c r="L86" s="31"/>
      <c r="M86" s="31"/>
      <c r="N86" s="32"/>
      <c r="P86" s="60"/>
      <c r="Q86" s="61"/>
      <c r="R86" s="40" t="s">
        <v>0</v>
      </c>
      <c r="S86" s="40">
        <v>2422003</v>
      </c>
      <c r="T86" s="40"/>
      <c r="U86" s="40" t="s">
        <v>144</v>
      </c>
      <c r="V86" s="40"/>
      <c r="W86" s="41">
        <f>SUM(G81:G92)</f>
        <v>1125.4426556272804</v>
      </c>
      <c r="X86" s="29"/>
      <c r="Y86" s="42"/>
      <c r="Z86" s="42"/>
      <c r="AA86" s="42"/>
      <c r="AB86" s="42"/>
      <c r="AC86" s="42"/>
      <c r="AD86" s="29"/>
      <c r="AE86" s="43"/>
      <c r="AF86" s="43"/>
      <c r="AG86" s="43"/>
      <c r="AH86" s="43"/>
      <c r="AI86" s="44"/>
    </row>
    <row r="87" spans="1:35" x14ac:dyDescent="0.25">
      <c r="A87" s="28">
        <v>66</v>
      </c>
      <c r="B87" s="33">
        <v>45658</v>
      </c>
      <c r="C87" s="31">
        <f t="shared" si="16"/>
        <v>4166.666666666667</v>
      </c>
      <c r="D87" s="31">
        <f t="shared" si="7"/>
        <v>3166.6925570906983</v>
      </c>
      <c r="E87" s="31">
        <f t="shared" si="17"/>
        <v>6257.4793589413803</v>
      </c>
      <c r="F87" s="31">
        <f t="shared" si="14"/>
        <v>31287.396794707238</v>
      </c>
      <c r="G87" s="31">
        <f t="shared" si="10"/>
        <v>85.730948141437736</v>
      </c>
      <c r="H87" s="32">
        <f t="shared" si="15"/>
        <v>20661.158502086495</v>
      </c>
      <c r="I87" s="29"/>
      <c r="J87" s="28"/>
      <c r="K87" s="31"/>
      <c r="L87" s="31"/>
      <c r="M87" s="31"/>
      <c r="N87" s="32"/>
      <c r="P87" s="60"/>
      <c r="Q87" s="61"/>
      <c r="R87" s="40" t="s">
        <v>1</v>
      </c>
      <c r="S87" s="40"/>
      <c r="T87" s="40"/>
      <c r="U87" s="40" t="s">
        <v>31</v>
      </c>
      <c r="V87" s="40"/>
      <c r="W87" s="41">
        <f>-SUM(C81:C92)</f>
        <v>-49999.999999999993</v>
      </c>
      <c r="X87" s="29"/>
      <c r="Y87" s="42"/>
      <c r="Z87" s="42"/>
      <c r="AA87" s="42"/>
      <c r="AB87" s="42"/>
      <c r="AC87" s="42"/>
      <c r="AD87" s="29"/>
      <c r="AE87" s="43"/>
      <c r="AF87" s="43"/>
      <c r="AG87" s="43"/>
      <c r="AH87" s="43"/>
      <c r="AI87" s="44"/>
    </row>
    <row r="88" spans="1:35" x14ac:dyDescent="0.25">
      <c r="A88" s="28">
        <v>67</v>
      </c>
      <c r="B88" s="33">
        <v>45689</v>
      </c>
      <c r="C88" s="31">
        <f t="shared" si="16"/>
        <v>4166.666666666667</v>
      </c>
      <c r="D88" s="31">
        <f t="shared" si="7"/>
        <v>3153.5527539492427</v>
      </c>
      <c r="E88" s="31">
        <f t="shared" si="17"/>
        <v>6257.4793589413803</v>
      </c>
      <c r="F88" s="31">
        <f t="shared" si="14"/>
        <v>25029.917435765856</v>
      </c>
      <c r="G88" s="31">
        <f t="shared" si="10"/>
        <v>68.727049314249285</v>
      </c>
      <c r="H88" s="32">
        <f t="shared" si="15"/>
        <v>16563.218884734077</v>
      </c>
      <c r="I88" s="29"/>
      <c r="J88" s="28"/>
      <c r="K88" s="31"/>
      <c r="L88" s="31"/>
      <c r="M88" s="31"/>
      <c r="N88" s="32"/>
      <c r="P88" s="60"/>
      <c r="Q88" s="61"/>
      <c r="R88" s="40" t="s">
        <v>150</v>
      </c>
      <c r="S88" s="40"/>
      <c r="T88" s="40"/>
      <c r="U88" s="40"/>
      <c r="V88" s="40"/>
      <c r="W88" s="40"/>
      <c r="X88" s="29"/>
      <c r="Y88" s="42"/>
      <c r="Z88" s="42"/>
      <c r="AA88" s="42"/>
      <c r="AB88" s="42"/>
      <c r="AC88" s="42"/>
      <c r="AD88" s="29"/>
      <c r="AE88" s="43"/>
      <c r="AF88" s="43"/>
      <c r="AG88" s="43"/>
      <c r="AH88" s="43"/>
      <c r="AI88" s="44"/>
    </row>
    <row r="89" spans="1:35" x14ac:dyDescent="0.25">
      <c r="A89" s="28">
        <v>68</v>
      </c>
      <c r="B89" s="33">
        <v>45717</v>
      </c>
      <c r="C89" s="31">
        <f t="shared" si="16"/>
        <v>4166.666666666667</v>
      </c>
      <c r="D89" s="31">
        <f t="shared" si="7"/>
        <v>3140.4674728125237</v>
      </c>
      <c r="E89" s="31">
        <f t="shared" si="17"/>
        <v>6257.4793589413803</v>
      </c>
      <c r="F89" s="31">
        <f t="shared" si="14"/>
        <v>18772.438076824474</v>
      </c>
      <c r="G89" s="31">
        <f t="shared" si="10"/>
        <v>51.652300908614201</v>
      </c>
      <c r="H89" s="32">
        <f t="shared" si="15"/>
        <v>12448.204518976023</v>
      </c>
      <c r="I89" s="29"/>
      <c r="J89" s="28"/>
      <c r="K89" s="31"/>
      <c r="L89" s="31"/>
      <c r="M89" s="31"/>
      <c r="N89" s="32"/>
      <c r="P89" s="60"/>
      <c r="Q89" s="61"/>
      <c r="R89" s="40"/>
      <c r="S89" s="40"/>
      <c r="T89" s="40"/>
      <c r="U89" s="40"/>
      <c r="V89" s="40"/>
      <c r="W89" s="40"/>
      <c r="X89" s="29"/>
      <c r="Y89" s="42"/>
      <c r="Z89" s="42"/>
      <c r="AA89" s="42"/>
      <c r="AB89" s="42"/>
      <c r="AC89" s="42"/>
      <c r="AD89" s="29"/>
      <c r="AE89" s="43"/>
      <c r="AF89" s="43"/>
      <c r="AG89" s="43"/>
      <c r="AH89" s="43"/>
      <c r="AI89" s="44"/>
    </row>
    <row r="90" spans="1:35" x14ac:dyDescent="0.25">
      <c r="A90" s="28">
        <v>69</v>
      </c>
      <c r="B90" s="33">
        <v>45748</v>
      </c>
      <c r="C90" s="31">
        <f t="shared" si="16"/>
        <v>4166.666666666667</v>
      </c>
      <c r="D90" s="31">
        <f t="shared" si="7"/>
        <v>3127.4364874481571</v>
      </c>
      <c r="E90" s="31">
        <f t="shared" si="17"/>
        <v>6257.4793589413803</v>
      </c>
      <c r="F90" s="31">
        <f t="shared" si="14"/>
        <v>12514.958717883093</v>
      </c>
      <c r="G90" s="31">
        <f t="shared" si="10"/>
        <v>34.506407717955653</v>
      </c>
      <c r="H90" s="32">
        <f t="shared" si="15"/>
        <v>8316.0442600273127</v>
      </c>
      <c r="I90" s="29"/>
      <c r="J90" s="28"/>
      <c r="K90" s="31"/>
      <c r="L90" s="31"/>
      <c r="M90" s="31"/>
      <c r="N90" s="32"/>
      <c r="P90" s="60"/>
      <c r="Q90" s="61"/>
      <c r="R90" s="40"/>
      <c r="S90" s="40"/>
      <c r="T90" s="40"/>
      <c r="U90" s="40"/>
      <c r="V90" s="40"/>
      <c r="W90" s="40"/>
      <c r="X90" s="29"/>
      <c r="Y90" s="42"/>
      <c r="Z90" s="42"/>
      <c r="AA90" s="42"/>
      <c r="AB90" s="42"/>
      <c r="AC90" s="42"/>
      <c r="AD90" s="29"/>
      <c r="AE90" s="43"/>
      <c r="AF90" s="43"/>
      <c r="AG90" s="43"/>
      <c r="AH90" s="43"/>
      <c r="AI90" s="44"/>
    </row>
    <row r="91" spans="1:35" x14ac:dyDescent="0.25">
      <c r="A91" s="28">
        <v>70</v>
      </c>
      <c r="B91" s="33">
        <v>45778</v>
      </c>
      <c r="C91" s="31">
        <f t="shared" si="16"/>
        <v>4166.666666666667</v>
      </c>
      <c r="D91" s="31">
        <f t="shared" si="7"/>
        <v>3114.4595725624799</v>
      </c>
      <c r="E91" s="31">
        <f t="shared" si="17"/>
        <v>6257.4793589413803</v>
      </c>
      <c r="F91" s="31">
        <f t="shared" si="14"/>
        <v>6257.4793589417131</v>
      </c>
      <c r="G91" s="31">
        <f t="shared" si="10"/>
        <v>17.289073305669358</v>
      </c>
      <c r="H91" s="32">
        <f t="shared" si="15"/>
        <v>4166.666666666315</v>
      </c>
      <c r="I91" s="29"/>
      <c r="J91" s="28"/>
      <c r="K91" s="31"/>
      <c r="L91" s="31"/>
      <c r="M91" s="31"/>
      <c r="N91" s="32"/>
      <c r="P91" s="60"/>
      <c r="Q91" s="61"/>
      <c r="R91" s="40"/>
      <c r="S91" s="40"/>
      <c r="T91" s="40"/>
      <c r="U91" s="40"/>
      <c r="V91" s="40"/>
      <c r="W91" s="40"/>
      <c r="X91" s="29"/>
      <c r="Y91" s="42"/>
      <c r="Z91" s="42"/>
      <c r="AA91" s="42"/>
      <c r="AB91" s="42"/>
      <c r="AC91" s="42"/>
      <c r="AD91" s="29"/>
      <c r="AE91" s="43"/>
      <c r="AF91" s="43"/>
      <c r="AG91" s="43"/>
      <c r="AH91" s="43"/>
      <c r="AI91" s="44"/>
    </row>
    <row r="92" spans="1:35" x14ac:dyDescent="0.25">
      <c r="A92" s="28">
        <v>71</v>
      </c>
      <c r="B92" s="33">
        <v>45809</v>
      </c>
      <c r="C92" s="31">
        <f t="shared" si="16"/>
        <v>4166.666666666667</v>
      </c>
      <c r="D92" s="31">
        <f t="shared" si="7"/>
        <v>3101.5365037966599</v>
      </c>
      <c r="E92" s="31">
        <f t="shared" si="17"/>
        <v>6257.4793589413803</v>
      </c>
      <c r="F92" s="31">
        <f t="shared" si="14"/>
        <v>3.3287506084889174E-10</v>
      </c>
      <c r="G92" s="31">
        <f t="shared" si="10"/>
        <v>-1.4665602066088468E-12</v>
      </c>
      <c r="H92" s="32">
        <f t="shared" si="15"/>
        <v>-3.5344100979273209E-10</v>
      </c>
      <c r="I92" s="29"/>
      <c r="J92" s="28"/>
      <c r="K92" s="31"/>
      <c r="L92" s="31"/>
      <c r="M92" s="31"/>
      <c r="N92" s="32"/>
      <c r="P92" s="60"/>
      <c r="Q92" s="61"/>
      <c r="R92" s="40"/>
      <c r="S92" s="40"/>
      <c r="T92" s="40"/>
      <c r="U92" s="40"/>
      <c r="V92" s="40"/>
      <c r="W92" s="40"/>
      <c r="X92" s="29"/>
      <c r="Y92" s="42"/>
      <c r="Z92" s="42"/>
      <c r="AA92" s="42"/>
      <c r="AB92" s="42"/>
      <c r="AC92" s="42"/>
      <c r="AD92" s="29"/>
      <c r="AE92" s="43"/>
      <c r="AF92" s="43"/>
      <c r="AG92" s="43"/>
      <c r="AH92" s="43"/>
      <c r="AI92" s="44"/>
    </row>
    <row r="93" spans="1:35" ht="15.75" thickBot="1" x14ac:dyDescent="0.3">
      <c r="A93" s="35"/>
      <c r="B93" s="36"/>
      <c r="C93" s="37">
        <f>SUM(C20:C92)</f>
        <v>500000.00000000093</v>
      </c>
      <c r="D93" s="37">
        <f>SUM(D20:D92)</f>
        <v>450538.51384377939</v>
      </c>
      <c r="E93" s="37">
        <f>SUM(E20:E92)</f>
        <v>450538.5138437791</v>
      </c>
      <c r="F93" s="36"/>
      <c r="G93" s="37">
        <f>SUM(G20:G92)</f>
        <v>49461.48615622014</v>
      </c>
      <c r="H93" s="38"/>
      <c r="I93" s="36"/>
      <c r="J93" s="35"/>
      <c r="K93" s="36"/>
      <c r="L93" s="36"/>
      <c r="M93" s="36"/>
      <c r="N93" s="38"/>
      <c r="P93" s="62"/>
      <c r="Q93" s="63"/>
      <c r="R93" s="47"/>
      <c r="S93" s="47"/>
      <c r="T93" s="47"/>
      <c r="U93" s="47"/>
      <c r="V93" s="47"/>
      <c r="W93" s="47"/>
      <c r="X93" s="36"/>
      <c r="Y93" s="48"/>
      <c r="Z93" s="48"/>
      <c r="AA93" s="48"/>
      <c r="AB93" s="48"/>
      <c r="AC93" s="48"/>
      <c r="AD93" s="36"/>
      <c r="AE93" s="49"/>
      <c r="AF93" s="49"/>
      <c r="AG93" s="49"/>
      <c r="AH93" s="49"/>
      <c r="AI93" s="50"/>
    </row>
  </sheetData>
  <mergeCells count="5">
    <mergeCell ref="C17:H17"/>
    <mergeCell ref="J17:N17"/>
    <mergeCell ref="Q18:W18"/>
    <mergeCell ref="Y18:AC18"/>
    <mergeCell ref="AE18:AI18"/>
  </mergeCells>
  <pageMargins left="0.70866141732283472" right="0.70866141732283472" top="0.74803149606299213" bottom="0.74803149606299213" header="0.31496062992125984" footer="0.31496062992125984"/>
  <pageSetup paperSize="8"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Z105"/>
  <sheetViews>
    <sheetView view="pageBreakPreview" topLeftCell="A99" zoomScaleNormal="100" zoomScaleSheetLayoutView="100" workbookViewId="0">
      <selection activeCell="A82" sqref="A82:T82"/>
    </sheetView>
  </sheetViews>
  <sheetFormatPr defaultRowHeight="15" outlineLevelRow="1" x14ac:dyDescent="0.25"/>
  <cols>
    <col min="1" max="1" width="3.140625" customWidth="1"/>
    <col min="2" max="2" width="7.28515625" customWidth="1"/>
    <col min="3" max="3" width="8.7109375" customWidth="1"/>
    <col min="4" max="4" width="8.85546875" customWidth="1"/>
    <col min="5" max="5" width="8.140625" customWidth="1"/>
    <col min="6" max="6" width="7.42578125" customWidth="1"/>
    <col min="7" max="7" width="8.140625" customWidth="1"/>
    <col min="8" max="8" width="8.28515625" customWidth="1"/>
    <col min="9" max="9" width="7.28515625" customWidth="1"/>
    <col min="10" max="10" width="6.42578125" customWidth="1"/>
    <col min="11" max="11" width="6" customWidth="1"/>
    <col min="12" max="12" width="0.7109375" style="29" customWidth="1"/>
    <col min="13" max="13" width="3.140625" style="1" customWidth="1"/>
    <col min="14" max="14" width="9.7109375" style="1" customWidth="1"/>
    <col min="15" max="15" width="3.5703125" customWidth="1"/>
    <col min="16" max="16" width="9" style="160" customWidth="1"/>
    <col min="17" max="17" width="6" style="160" customWidth="1"/>
    <col min="18" max="18" width="3" customWidth="1"/>
    <col min="19" max="19" width="29.5703125" customWidth="1"/>
    <col min="20" max="20" width="9.140625" style="72"/>
    <col min="22" max="23" width="0" hidden="1" customWidth="1"/>
    <col min="24" max="24" width="0" style="72" hidden="1" customWidth="1"/>
    <col min="25" max="25" width="0" hidden="1" customWidth="1"/>
  </cols>
  <sheetData>
    <row r="1" spans="1:26" x14ac:dyDescent="0.25">
      <c r="A1" s="1" t="s">
        <v>129</v>
      </c>
      <c r="C1" s="1"/>
      <c r="F1" s="22">
        <v>2.5000000000000001E-3</v>
      </c>
      <c r="G1" s="167"/>
      <c r="H1" s="168" t="s">
        <v>430</v>
      </c>
      <c r="S1" s="1"/>
    </row>
    <row r="2" spans="1:26" ht="9" customHeight="1" thickBot="1" x14ac:dyDescent="0.3"/>
    <row r="3" spans="1:26" s="106" customFormat="1" ht="15.75" outlineLevel="1" x14ac:dyDescent="0.25">
      <c r="A3" s="275" t="s">
        <v>183</v>
      </c>
      <c r="B3" s="276"/>
      <c r="C3" s="276"/>
      <c r="D3" s="276"/>
      <c r="E3" s="276"/>
      <c r="F3" s="276"/>
      <c r="G3" s="276"/>
      <c r="H3" s="276"/>
      <c r="I3" s="276"/>
      <c r="J3" s="276"/>
      <c r="K3" s="276"/>
      <c r="L3" s="276"/>
      <c r="M3" s="276"/>
      <c r="N3" s="276"/>
      <c r="O3" s="276"/>
      <c r="P3" s="276"/>
      <c r="Q3" s="276"/>
      <c r="R3" s="276"/>
      <c r="S3" s="276"/>
      <c r="T3" s="277"/>
      <c r="X3" s="147"/>
    </row>
    <row r="4" spans="1:26" s="106" customFormat="1" ht="32.25" customHeight="1" outlineLevel="1" x14ac:dyDescent="0.25">
      <c r="A4" s="281" t="s">
        <v>282</v>
      </c>
      <c r="B4" s="282"/>
      <c r="C4" s="282"/>
      <c r="D4" s="282"/>
      <c r="E4" s="282"/>
      <c r="F4" s="282"/>
      <c r="G4" s="282"/>
      <c r="H4" s="282"/>
      <c r="I4" s="282"/>
      <c r="J4" s="282"/>
      <c r="K4" s="282"/>
      <c r="L4" s="282"/>
      <c r="M4" s="282"/>
      <c r="N4" s="282"/>
      <c r="O4" s="282"/>
      <c r="P4" s="282"/>
      <c r="Q4" s="282"/>
      <c r="R4" s="282"/>
      <c r="S4" s="282"/>
      <c r="T4" s="283"/>
      <c r="X4" s="147"/>
    </row>
    <row r="5" spans="1:26" s="106" customFormat="1" ht="66" customHeight="1" outlineLevel="1" x14ac:dyDescent="0.25">
      <c r="A5" s="281" t="s">
        <v>383</v>
      </c>
      <c r="B5" s="282"/>
      <c r="C5" s="282"/>
      <c r="D5" s="282"/>
      <c r="E5" s="282"/>
      <c r="F5" s="282"/>
      <c r="G5" s="282"/>
      <c r="H5" s="282"/>
      <c r="I5" s="282"/>
      <c r="J5" s="282"/>
      <c r="K5" s="282"/>
      <c r="L5" s="282"/>
      <c r="M5" s="282"/>
      <c r="N5" s="282"/>
      <c r="O5" s="282"/>
      <c r="P5" s="282"/>
      <c r="Q5" s="282"/>
      <c r="R5" s="282"/>
      <c r="S5" s="282"/>
      <c r="T5" s="283"/>
      <c r="X5" s="147"/>
    </row>
    <row r="6" spans="1:26" s="106" customFormat="1" ht="15.75" customHeight="1" outlineLevel="1" x14ac:dyDescent="0.25">
      <c r="A6" s="281" t="s">
        <v>431</v>
      </c>
      <c r="B6" s="282"/>
      <c r="C6" s="282"/>
      <c r="D6" s="282"/>
      <c r="E6" s="282"/>
      <c r="F6" s="282"/>
      <c r="G6" s="282"/>
      <c r="H6" s="282"/>
      <c r="I6" s="282"/>
      <c r="J6" s="282"/>
      <c r="K6" s="282"/>
      <c r="L6" s="282"/>
      <c r="M6" s="282"/>
      <c r="N6" s="282"/>
      <c r="O6" s="282"/>
      <c r="P6" s="282"/>
      <c r="Q6" s="282"/>
      <c r="R6" s="282"/>
      <c r="S6" s="282"/>
      <c r="T6" s="283"/>
      <c r="X6" s="147"/>
    </row>
    <row r="7" spans="1:26" s="106" customFormat="1" outlineLevel="1" x14ac:dyDescent="0.25">
      <c r="A7" s="281" t="s">
        <v>341</v>
      </c>
      <c r="B7" s="282"/>
      <c r="C7" s="282"/>
      <c r="D7" s="282"/>
      <c r="E7" s="282"/>
      <c r="F7" s="282"/>
      <c r="G7" s="282"/>
      <c r="H7" s="282"/>
      <c r="I7" s="282"/>
      <c r="J7" s="282"/>
      <c r="K7" s="282"/>
      <c r="L7" s="282"/>
      <c r="M7" s="282"/>
      <c r="N7" s="282"/>
      <c r="O7" s="282"/>
      <c r="P7" s="282"/>
      <c r="Q7" s="282"/>
      <c r="R7" s="282"/>
      <c r="S7" s="282"/>
      <c r="T7" s="283"/>
      <c r="X7" s="147"/>
    </row>
    <row r="8" spans="1:26" s="106" customFormat="1" ht="8.25" customHeight="1" outlineLevel="1" thickBot="1" x14ac:dyDescent="0.3">
      <c r="A8" s="305"/>
      <c r="B8" s="306"/>
      <c r="C8" s="306"/>
      <c r="D8" s="306"/>
      <c r="E8" s="306"/>
      <c r="F8" s="306"/>
      <c r="G8" s="306"/>
      <c r="H8" s="306"/>
      <c r="I8" s="306"/>
      <c r="J8" s="306"/>
      <c r="K8" s="306"/>
      <c r="L8" s="306"/>
      <c r="M8" s="306"/>
      <c r="N8" s="306"/>
      <c r="O8" s="306"/>
      <c r="P8" s="306"/>
      <c r="Q8" s="306"/>
      <c r="R8" s="306"/>
      <c r="S8" s="306"/>
      <c r="T8" s="307"/>
      <c r="X8" s="147"/>
    </row>
    <row r="9" spans="1:26" ht="9" customHeight="1" thickBot="1" x14ac:dyDescent="0.3"/>
    <row r="10" spans="1:26" ht="15.75" thickBot="1" x14ac:dyDescent="0.3">
      <c r="A10" s="284" t="s">
        <v>184</v>
      </c>
      <c r="B10" s="285"/>
      <c r="C10" s="285"/>
      <c r="D10" s="285"/>
      <c r="E10" s="285"/>
      <c r="F10" s="285"/>
      <c r="G10" s="285"/>
      <c r="H10" s="285"/>
      <c r="I10" s="285"/>
      <c r="J10" s="285"/>
      <c r="K10" s="171"/>
      <c r="M10" s="302" t="s">
        <v>337</v>
      </c>
      <c r="N10" s="303"/>
      <c r="O10" s="303"/>
      <c r="P10" s="303"/>
      <c r="Q10" s="303"/>
      <c r="R10" s="303"/>
      <c r="S10" s="303"/>
      <c r="T10" s="304"/>
    </row>
    <row r="11" spans="1:26" s="1" customFormat="1" ht="95.25" customHeight="1" thickBot="1" x14ac:dyDescent="0.3">
      <c r="A11" s="150" t="s">
        <v>99</v>
      </c>
      <c r="B11" s="151" t="s">
        <v>98</v>
      </c>
      <c r="C11" s="152" t="s">
        <v>92</v>
      </c>
      <c r="D11" s="152" t="s">
        <v>93</v>
      </c>
      <c r="E11" s="152" t="s">
        <v>97</v>
      </c>
      <c r="F11" s="152" t="s">
        <v>96</v>
      </c>
      <c r="G11" s="152" t="s">
        <v>95</v>
      </c>
      <c r="H11" s="152" t="s">
        <v>104</v>
      </c>
      <c r="I11" s="152" t="s">
        <v>247</v>
      </c>
      <c r="J11" s="152" t="s">
        <v>286</v>
      </c>
      <c r="K11" s="153" t="s">
        <v>288</v>
      </c>
      <c r="L11" s="71"/>
      <c r="M11" s="78"/>
      <c r="N11" s="79" t="s">
        <v>172</v>
      </c>
      <c r="O11" s="79"/>
      <c r="P11" s="161" t="s">
        <v>168</v>
      </c>
      <c r="Q11" s="161" t="s">
        <v>169</v>
      </c>
      <c r="R11" s="79" t="s">
        <v>152</v>
      </c>
      <c r="S11" s="79" t="s">
        <v>170</v>
      </c>
      <c r="T11" s="80" t="s">
        <v>171</v>
      </c>
      <c r="X11" s="148"/>
    </row>
    <row r="12" spans="1:26" s="1" customFormat="1" ht="17.25" customHeight="1" x14ac:dyDescent="0.25">
      <c r="A12" s="84"/>
      <c r="B12" s="71"/>
      <c r="C12" s="74"/>
      <c r="D12" s="74"/>
      <c r="E12" s="74"/>
      <c r="F12" s="74"/>
      <c r="G12" s="74"/>
      <c r="H12" s="74"/>
      <c r="I12" s="74"/>
      <c r="J12" s="74"/>
      <c r="K12" s="144"/>
      <c r="L12" s="71"/>
      <c r="M12" s="60"/>
      <c r="N12" s="145"/>
      <c r="O12" s="145"/>
      <c r="P12" s="162"/>
      <c r="Q12" s="162"/>
      <c r="R12" s="145"/>
      <c r="S12" s="145"/>
      <c r="T12" s="146"/>
      <c r="X12" s="148"/>
    </row>
    <row r="13" spans="1:26" s="1" customFormat="1" x14ac:dyDescent="0.25">
      <c r="A13" s="84"/>
      <c r="B13" s="154"/>
      <c r="C13" s="30"/>
      <c r="D13" s="30"/>
      <c r="E13" s="30"/>
      <c r="F13" s="30">
        <f>+D50-J13+K13</f>
        <v>117555.27266394401</v>
      </c>
      <c r="G13" s="30"/>
      <c r="H13" s="30">
        <f>+D50</f>
        <v>123055.27266394401</v>
      </c>
      <c r="I13" s="30"/>
      <c r="J13" s="30">
        <v>10000</v>
      </c>
      <c r="K13" s="34">
        <v>4500</v>
      </c>
      <c r="L13" s="71"/>
      <c r="M13" s="115" t="s">
        <v>109</v>
      </c>
      <c r="N13" s="135">
        <v>43647</v>
      </c>
      <c r="O13" s="109" t="s">
        <v>0</v>
      </c>
      <c r="P13" s="163">
        <v>5311002</v>
      </c>
      <c r="Q13" s="163">
        <v>7321</v>
      </c>
      <c r="R13" s="109"/>
      <c r="S13" s="109" t="s">
        <v>146</v>
      </c>
      <c r="T13" s="110">
        <f>T14</f>
        <v>123055.27266394401</v>
      </c>
      <c r="V13" s="1">
        <v>36</v>
      </c>
      <c r="X13" s="148">
        <f t="shared" ref="X13:X25" si="0">+(C$50/36)*W13</f>
        <v>0</v>
      </c>
      <c r="Z13" s="1" t="s">
        <v>413</v>
      </c>
    </row>
    <row r="14" spans="1:26" x14ac:dyDescent="0.25">
      <c r="A14" s="28">
        <v>0</v>
      </c>
      <c r="B14" s="33">
        <v>43647</v>
      </c>
      <c r="C14" s="31">
        <v>0</v>
      </c>
      <c r="D14" s="31">
        <f>+C14/(1+F$1)^A14</f>
        <v>0</v>
      </c>
      <c r="E14" s="31">
        <f>+F$13/36</f>
        <v>3265.4242406651115</v>
      </c>
      <c r="F14" s="31">
        <f>+F13-E14</f>
        <v>114289.84842327889</v>
      </c>
      <c r="G14" s="31">
        <f>+(H13-C14)*F$1</f>
        <v>307.63818165986004</v>
      </c>
      <c r="H14" s="31">
        <f>+H13-C14+G14</f>
        <v>123362.91084560387</v>
      </c>
      <c r="I14" s="31"/>
      <c r="J14" s="31"/>
      <c r="K14" s="32">
        <f>+K13*(1+F$1)</f>
        <v>4511.25</v>
      </c>
      <c r="M14" s="60"/>
      <c r="N14" s="61"/>
      <c r="O14" s="40" t="s">
        <v>1</v>
      </c>
      <c r="P14" s="164">
        <v>3240102</v>
      </c>
      <c r="Q14" s="164"/>
      <c r="R14" s="40"/>
      <c r="S14" s="40" t="s">
        <v>270</v>
      </c>
      <c r="T14" s="70">
        <f>+H13</f>
        <v>123055.27266394401</v>
      </c>
      <c r="V14">
        <v>35</v>
      </c>
      <c r="W14">
        <v>1</v>
      </c>
      <c r="X14" s="72">
        <f t="shared" si="0"/>
        <v>3598.472222222224</v>
      </c>
      <c r="Y14" s="72">
        <f>+C14</f>
        <v>0</v>
      </c>
    </row>
    <row r="15" spans="1:26" x14ac:dyDescent="0.25">
      <c r="A15" s="28">
        <v>1</v>
      </c>
      <c r="B15" s="33">
        <v>43678</v>
      </c>
      <c r="C15" s="31">
        <v>0</v>
      </c>
      <c r="D15" s="31">
        <f t="shared" ref="D15:D24" si="1">+C15/(1+F$1)^A15</f>
        <v>0</v>
      </c>
      <c r="E15" s="31">
        <f t="shared" ref="E15:E37" si="2">+F$13/36</f>
        <v>3265.4242406651115</v>
      </c>
      <c r="F15" s="31">
        <f t="shared" ref="F15:F25" si="3">+F14-E15</f>
        <v>111024.42418261377</v>
      </c>
      <c r="G15" s="31">
        <f t="shared" ref="G15:G25" si="4">+(H14-C15)*F$1</f>
        <v>308.40727711400967</v>
      </c>
      <c r="H15" s="31">
        <f t="shared" ref="H15:H25" si="5">+H14-C15+G15</f>
        <v>123671.31812271787</v>
      </c>
      <c r="I15" s="31"/>
      <c r="J15" s="31"/>
      <c r="K15" s="32">
        <f t="shared" ref="K15:K49" si="6">+K14*(1+F$1)</f>
        <v>4522.5281249999998</v>
      </c>
      <c r="M15" s="133" t="s">
        <v>192</v>
      </c>
      <c r="N15" s="61"/>
      <c r="O15" s="40"/>
      <c r="P15" s="164"/>
      <c r="Q15" s="164"/>
      <c r="R15" s="40"/>
      <c r="S15" s="40"/>
      <c r="T15" s="70"/>
      <c r="V15">
        <v>34</v>
      </c>
      <c r="W15">
        <v>2</v>
      </c>
      <c r="X15" s="72">
        <f t="shared" si="0"/>
        <v>7196.944444444448</v>
      </c>
      <c r="Y15" s="72">
        <f t="shared" ref="Y15:Y25" si="7">+C15+Y14</f>
        <v>0</v>
      </c>
    </row>
    <row r="16" spans="1:26" x14ac:dyDescent="0.25">
      <c r="A16" s="28">
        <v>2</v>
      </c>
      <c r="B16" s="33">
        <v>43709</v>
      </c>
      <c r="C16" s="31">
        <v>0</v>
      </c>
      <c r="D16" s="31">
        <f t="shared" si="1"/>
        <v>0</v>
      </c>
      <c r="E16" s="31">
        <f t="shared" si="2"/>
        <v>3265.4242406651115</v>
      </c>
      <c r="F16" s="31">
        <f t="shared" si="3"/>
        <v>107758.99994194866</v>
      </c>
      <c r="G16" s="31">
        <f t="shared" si="4"/>
        <v>309.17829530679467</v>
      </c>
      <c r="H16" s="31">
        <f t="shared" si="5"/>
        <v>123980.49641802466</v>
      </c>
      <c r="I16" s="31"/>
      <c r="J16" s="31"/>
      <c r="K16" s="32">
        <f t="shared" si="6"/>
        <v>4533.8344453124992</v>
      </c>
      <c r="M16" s="60"/>
      <c r="N16" s="140"/>
      <c r="O16" s="140"/>
      <c r="P16" s="162"/>
      <c r="Q16" s="162"/>
      <c r="R16" s="140"/>
      <c r="S16" s="140"/>
      <c r="T16" s="141"/>
      <c r="V16">
        <v>33</v>
      </c>
      <c r="W16">
        <v>3</v>
      </c>
      <c r="X16" s="72">
        <f t="shared" si="0"/>
        <v>10795.416666666672</v>
      </c>
      <c r="Y16" s="72">
        <f t="shared" si="7"/>
        <v>0</v>
      </c>
    </row>
    <row r="17" spans="1:25" x14ac:dyDescent="0.25">
      <c r="A17" s="28">
        <v>3</v>
      </c>
      <c r="B17" s="33">
        <v>43739</v>
      </c>
      <c r="C17" s="31">
        <v>0</v>
      </c>
      <c r="D17" s="31">
        <f t="shared" si="1"/>
        <v>0</v>
      </c>
      <c r="E17" s="31">
        <f t="shared" si="2"/>
        <v>3265.4242406651115</v>
      </c>
      <c r="F17" s="31">
        <f t="shared" si="3"/>
        <v>104493.57570128354</v>
      </c>
      <c r="G17" s="31">
        <f t="shared" si="4"/>
        <v>309.95124104506164</v>
      </c>
      <c r="H17" s="31">
        <f t="shared" si="5"/>
        <v>124290.44765906972</v>
      </c>
      <c r="I17" s="31"/>
      <c r="J17" s="31"/>
      <c r="K17" s="32">
        <f t="shared" si="6"/>
        <v>4545.1690314257803</v>
      </c>
      <c r="M17" s="115" t="s">
        <v>110</v>
      </c>
      <c r="N17" s="135">
        <v>43647</v>
      </c>
      <c r="O17" s="156" t="s">
        <v>0</v>
      </c>
      <c r="P17" s="142">
        <v>5311002</v>
      </c>
      <c r="Q17" s="231">
        <v>7126</v>
      </c>
      <c r="R17" s="156"/>
      <c r="S17" s="143" t="s">
        <v>293</v>
      </c>
      <c r="T17" s="158">
        <v>10000</v>
      </c>
      <c r="V17">
        <v>32</v>
      </c>
      <c r="W17">
        <v>4</v>
      </c>
      <c r="X17" s="72">
        <f t="shared" si="0"/>
        <v>14393.888888888896</v>
      </c>
      <c r="Y17" s="72">
        <f t="shared" si="7"/>
        <v>0</v>
      </c>
    </row>
    <row r="18" spans="1:25" x14ac:dyDescent="0.25">
      <c r="A18" s="28">
        <v>4</v>
      </c>
      <c r="B18" s="33">
        <v>43770</v>
      </c>
      <c r="C18" s="31">
        <v>0</v>
      </c>
      <c r="D18" s="31">
        <f t="shared" si="1"/>
        <v>0</v>
      </c>
      <c r="E18" s="31">
        <f t="shared" si="2"/>
        <v>3265.4242406651115</v>
      </c>
      <c r="F18" s="31">
        <f t="shared" si="3"/>
        <v>101228.15146061842</v>
      </c>
      <c r="G18" s="31">
        <f t="shared" si="4"/>
        <v>310.7261191476743</v>
      </c>
      <c r="H18" s="31">
        <f t="shared" si="5"/>
        <v>124601.17377821739</v>
      </c>
      <c r="I18" s="31"/>
      <c r="J18" s="31"/>
      <c r="K18" s="32">
        <f t="shared" si="6"/>
        <v>4556.5319540043447</v>
      </c>
      <c r="M18" s="115"/>
      <c r="N18" s="156"/>
      <c r="O18" s="156" t="s">
        <v>1</v>
      </c>
      <c r="P18" s="142"/>
      <c r="Q18" s="142"/>
      <c r="R18" s="156"/>
      <c r="S18" s="143" t="s">
        <v>31</v>
      </c>
      <c r="T18" s="158">
        <v>10000</v>
      </c>
      <c r="V18">
        <v>31</v>
      </c>
      <c r="W18">
        <v>5</v>
      </c>
      <c r="X18" s="72">
        <f t="shared" si="0"/>
        <v>17992.36111111112</v>
      </c>
      <c r="Y18" s="72">
        <f t="shared" si="7"/>
        <v>0</v>
      </c>
    </row>
    <row r="19" spans="1:25" x14ac:dyDescent="0.25">
      <c r="A19" s="28">
        <v>5</v>
      </c>
      <c r="B19" s="33">
        <v>43800</v>
      </c>
      <c r="C19" s="31">
        <v>0</v>
      </c>
      <c r="D19" s="31">
        <f t="shared" si="1"/>
        <v>0</v>
      </c>
      <c r="E19" s="31">
        <f t="shared" si="2"/>
        <v>3265.4242406651115</v>
      </c>
      <c r="F19" s="31">
        <f t="shared" si="3"/>
        <v>97962.727219953304</v>
      </c>
      <c r="G19" s="31">
        <f t="shared" si="4"/>
        <v>311.50293444554347</v>
      </c>
      <c r="H19" s="31">
        <f t="shared" si="5"/>
        <v>124912.67671266293</v>
      </c>
      <c r="I19" s="31"/>
      <c r="J19" s="31"/>
      <c r="K19" s="32">
        <f t="shared" si="6"/>
        <v>4567.9232838893549</v>
      </c>
      <c r="M19" s="115" t="s">
        <v>283</v>
      </c>
      <c r="N19" s="156"/>
      <c r="O19" s="156"/>
      <c r="P19" s="142"/>
      <c r="Q19" s="142"/>
      <c r="R19" s="156"/>
      <c r="S19" s="143"/>
      <c r="T19" s="158"/>
      <c r="V19">
        <v>30</v>
      </c>
      <c r="W19">
        <v>6</v>
      </c>
      <c r="X19" s="72">
        <f t="shared" si="0"/>
        <v>21590.833333333343</v>
      </c>
      <c r="Y19" s="72">
        <f t="shared" si="7"/>
        <v>0</v>
      </c>
    </row>
    <row r="20" spans="1:25" x14ac:dyDescent="0.25">
      <c r="A20" s="28">
        <v>6</v>
      </c>
      <c r="B20" s="33">
        <v>43831</v>
      </c>
      <c r="C20" s="31">
        <f t="shared" ref="C20:C25" si="8">(50000)/12</f>
        <v>4166.666666666667</v>
      </c>
      <c r="D20" s="31">
        <f>+C20/(1+F$1)^A20</f>
        <v>4104.7099162390768</v>
      </c>
      <c r="E20" s="31">
        <f t="shared" si="2"/>
        <v>3265.4242406651115</v>
      </c>
      <c r="F20" s="31">
        <f t="shared" si="3"/>
        <v>94697.302979288186</v>
      </c>
      <c r="G20" s="31">
        <f t="shared" si="4"/>
        <v>301.86502511499066</v>
      </c>
      <c r="H20" s="31">
        <f t="shared" si="5"/>
        <v>121047.87507111125</v>
      </c>
      <c r="I20" s="31"/>
      <c r="J20" s="31"/>
      <c r="K20" s="32">
        <f t="shared" si="6"/>
        <v>4579.3430920990777</v>
      </c>
      <c r="M20" s="115"/>
      <c r="N20" s="156"/>
      <c r="O20" s="156"/>
      <c r="P20" s="142"/>
      <c r="Q20" s="142"/>
      <c r="R20" s="156"/>
      <c r="S20" s="143"/>
      <c r="T20" s="158"/>
      <c r="V20">
        <v>29</v>
      </c>
      <c r="W20">
        <v>7</v>
      </c>
      <c r="X20" s="72">
        <f t="shared" si="0"/>
        <v>25189.305555555569</v>
      </c>
      <c r="Y20" s="72">
        <f t="shared" si="7"/>
        <v>4166.666666666667</v>
      </c>
    </row>
    <row r="21" spans="1:25" x14ac:dyDescent="0.25">
      <c r="A21" s="28">
        <v>7</v>
      </c>
      <c r="B21" s="33">
        <v>43862</v>
      </c>
      <c r="C21" s="31">
        <f t="shared" si="8"/>
        <v>4166.666666666667</v>
      </c>
      <c r="D21" s="31">
        <f t="shared" si="1"/>
        <v>4094.4737319093038</v>
      </c>
      <c r="E21" s="31">
        <f t="shared" si="2"/>
        <v>3265.4242406651115</v>
      </c>
      <c r="F21" s="31">
        <f t="shared" si="3"/>
        <v>91431.878738623069</v>
      </c>
      <c r="G21" s="31">
        <f t="shared" si="4"/>
        <v>292.20302101111145</v>
      </c>
      <c r="H21" s="31">
        <f t="shared" si="5"/>
        <v>117173.41142545569</v>
      </c>
      <c r="I21" s="31"/>
      <c r="J21" s="31"/>
      <c r="K21" s="32">
        <f t="shared" si="6"/>
        <v>4590.7914498293248</v>
      </c>
      <c r="M21" s="115" t="s">
        <v>260</v>
      </c>
      <c r="N21" s="135">
        <v>43647</v>
      </c>
      <c r="O21" s="156" t="s">
        <v>0</v>
      </c>
      <c r="P21" s="142"/>
      <c r="Q21" s="142"/>
      <c r="R21" s="156"/>
      <c r="S21" s="143" t="s">
        <v>31</v>
      </c>
      <c r="T21" s="158">
        <v>10000</v>
      </c>
      <c r="V21">
        <v>28</v>
      </c>
      <c r="W21">
        <v>8</v>
      </c>
      <c r="X21" s="72">
        <f t="shared" si="0"/>
        <v>28787.777777777792</v>
      </c>
      <c r="Y21" s="72">
        <f t="shared" si="7"/>
        <v>8333.3333333333339</v>
      </c>
    </row>
    <row r="22" spans="1:25" x14ac:dyDescent="0.25">
      <c r="A22" s="28">
        <v>8</v>
      </c>
      <c r="B22" s="33">
        <v>43891</v>
      </c>
      <c r="C22" s="31">
        <f t="shared" si="8"/>
        <v>4166.666666666667</v>
      </c>
      <c r="D22" s="31">
        <f t="shared" si="1"/>
        <v>4084.2630742237438</v>
      </c>
      <c r="E22" s="31">
        <f t="shared" si="2"/>
        <v>3265.4242406651115</v>
      </c>
      <c r="F22" s="31">
        <f t="shared" si="3"/>
        <v>88166.454497957951</v>
      </c>
      <c r="G22" s="31">
        <f t="shared" si="4"/>
        <v>282.51686189697256</v>
      </c>
      <c r="H22" s="31">
        <f t="shared" si="5"/>
        <v>113289.261620686</v>
      </c>
      <c r="I22" s="31"/>
      <c r="J22" s="31"/>
      <c r="K22" s="32">
        <f t="shared" si="6"/>
        <v>4602.2684284538982</v>
      </c>
      <c r="M22" s="115"/>
      <c r="N22" s="156"/>
      <c r="O22" s="156" t="s">
        <v>1</v>
      </c>
      <c r="P22" s="142">
        <v>5311002</v>
      </c>
      <c r="Q22" s="142">
        <v>7321</v>
      </c>
      <c r="R22" s="156"/>
      <c r="S22" s="143" t="s">
        <v>146</v>
      </c>
      <c r="T22" s="158">
        <v>10000</v>
      </c>
      <c r="V22">
        <v>27</v>
      </c>
      <c r="W22">
        <v>9</v>
      </c>
      <c r="X22" s="72">
        <f t="shared" si="0"/>
        <v>32386.250000000015</v>
      </c>
      <c r="Y22" s="72">
        <f t="shared" si="7"/>
        <v>12500</v>
      </c>
    </row>
    <row r="23" spans="1:25" x14ac:dyDescent="0.25">
      <c r="A23" s="28">
        <v>9</v>
      </c>
      <c r="B23" s="33">
        <v>43922</v>
      </c>
      <c r="C23" s="31">
        <f t="shared" si="8"/>
        <v>4166.666666666667</v>
      </c>
      <c r="D23" s="31">
        <f t="shared" si="1"/>
        <v>4074.0778795249316</v>
      </c>
      <c r="E23" s="31">
        <f t="shared" si="2"/>
        <v>3265.4242406651115</v>
      </c>
      <c r="F23" s="31">
        <f t="shared" si="3"/>
        <v>84901.030257292834</v>
      </c>
      <c r="G23" s="31">
        <f t="shared" si="4"/>
        <v>272.80648738504834</v>
      </c>
      <c r="H23" s="31">
        <f t="shared" si="5"/>
        <v>109395.40144140438</v>
      </c>
      <c r="I23" s="31"/>
      <c r="J23" s="31"/>
      <c r="K23" s="32">
        <f t="shared" si="6"/>
        <v>4613.7740995250324</v>
      </c>
      <c r="M23" s="115" t="s">
        <v>284</v>
      </c>
      <c r="N23" s="156"/>
      <c r="O23" s="156"/>
      <c r="P23" s="142"/>
      <c r="Q23" s="142"/>
      <c r="R23" s="156"/>
      <c r="S23" s="156"/>
      <c r="T23" s="157"/>
      <c r="V23">
        <v>26</v>
      </c>
      <c r="W23">
        <v>10</v>
      </c>
      <c r="X23" s="72">
        <f t="shared" si="0"/>
        <v>35984.722222222241</v>
      </c>
      <c r="Y23" s="72">
        <f t="shared" si="7"/>
        <v>16666.666666666668</v>
      </c>
    </row>
    <row r="24" spans="1:25" x14ac:dyDescent="0.25">
      <c r="A24" s="28">
        <v>10</v>
      </c>
      <c r="B24" s="33">
        <v>43952</v>
      </c>
      <c r="C24" s="31">
        <f t="shared" si="8"/>
        <v>4166.666666666667</v>
      </c>
      <c r="D24" s="31">
        <f t="shared" si="1"/>
        <v>4063.9180843141467</v>
      </c>
      <c r="E24" s="31">
        <f t="shared" si="2"/>
        <v>3265.4242406651115</v>
      </c>
      <c r="F24" s="31">
        <f t="shared" si="3"/>
        <v>81635.606016627717</v>
      </c>
      <c r="G24" s="31">
        <f t="shared" si="4"/>
        <v>263.07183693684425</v>
      </c>
      <c r="H24" s="31">
        <f t="shared" si="5"/>
        <v>105491.80661167455</v>
      </c>
      <c r="I24" s="31"/>
      <c r="J24" s="31"/>
      <c r="K24" s="32">
        <f t="shared" si="6"/>
        <v>4625.3085347738452</v>
      </c>
      <c r="M24" s="115"/>
      <c r="N24" s="156"/>
      <c r="O24" s="156"/>
      <c r="P24" s="142"/>
      <c r="Q24" s="142"/>
      <c r="R24" s="156"/>
      <c r="S24" s="156"/>
      <c r="T24" s="157"/>
      <c r="V24">
        <v>25</v>
      </c>
      <c r="W24">
        <v>11</v>
      </c>
      <c r="X24" s="72">
        <f t="shared" si="0"/>
        <v>39583.194444444467</v>
      </c>
      <c r="Y24" s="72">
        <f t="shared" si="7"/>
        <v>20833.333333333336</v>
      </c>
    </row>
    <row r="25" spans="1:25" ht="15" customHeight="1" x14ac:dyDescent="0.25">
      <c r="A25" s="28">
        <v>11</v>
      </c>
      <c r="B25" s="33">
        <v>43983</v>
      </c>
      <c r="C25" s="31">
        <f t="shared" si="8"/>
        <v>4166.666666666667</v>
      </c>
      <c r="D25" s="31">
        <f>+C25/(1+F$1)^A25</f>
        <v>4053.7836252510201</v>
      </c>
      <c r="E25" s="31">
        <f t="shared" si="2"/>
        <v>3265.4242406651115</v>
      </c>
      <c r="F25" s="31">
        <f t="shared" si="3"/>
        <v>78370.181775962599</v>
      </c>
      <c r="G25" s="31">
        <f t="shared" si="4"/>
        <v>253.3128498625197</v>
      </c>
      <c r="H25" s="31">
        <f t="shared" si="5"/>
        <v>101578.45279487039</v>
      </c>
      <c r="I25" s="30"/>
      <c r="J25" s="30"/>
      <c r="K25" s="32">
        <f t="shared" si="6"/>
        <v>4636.8718061107793</v>
      </c>
      <c r="M25" s="115" t="s">
        <v>112</v>
      </c>
      <c r="N25" s="174">
        <v>43647</v>
      </c>
      <c r="O25" s="156"/>
      <c r="P25" s="142">
        <v>5311002</v>
      </c>
      <c r="Q25" s="142">
        <v>7321</v>
      </c>
      <c r="R25" s="156"/>
      <c r="S25" s="143" t="s">
        <v>146</v>
      </c>
      <c r="T25" s="158">
        <f>+K13</f>
        <v>4500</v>
      </c>
      <c r="V25">
        <v>24</v>
      </c>
      <c r="W25">
        <v>12</v>
      </c>
      <c r="X25" s="72">
        <f t="shared" si="0"/>
        <v>43181.666666666686</v>
      </c>
      <c r="Y25" s="72">
        <f t="shared" si="7"/>
        <v>25000.000000000004</v>
      </c>
    </row>
    <row r="26" spans="1:25" ht="15" customHeight="1" x14ac:dyDescent="0.25">
      <c r="A26" s="28">
        <v>12</v>
      </c>
      <c r="B26" s="33">
        <v>44013</v>
      </c>
      <c r="C26" s="31">
        <f>((50000*1.03)/12)</f>
        <v>4291.666666666667</v>
      </c>
      <c r="D26" s="31">
        <f t="shared" ref="D26:D48" si="9">+C26/(1+F$1)^A26</f>
        <v>4164.9846723277306</v>
      </c>
      <c r="E26" s="31">
        <f t="shared" si="2"/>
        <v>3265.4242406651115</v>
      </c>
      <c r="F26" s="31">
        <f t="shared" ref="F26:F37" si="10">+F25-E26</f>
        <v>75104.757535297482</v>
      </c>
      <c r="G26" s="31">
        <f t="shared" ref="G26:G49" si="11">+(H25-C26)*F$1</f>
        <v>243.2169653205093</v>
      </c>
      <c r="H26" s="31">
        <f t="shared" ref="H26:H49" si="12">+H25-C26+G26</f>
        <v>97530.003093524225</v>
      </c>
      <c r="I26" s="30"/>
      <c r="J26" s="30"/>
      <c r="K26" s="32">
        <f t="shared" si="6"/>
        <v>4648.4639856260555</v>
      </c>
      <c r="M26" s="115"/>
      <c r="N26" s="156"/>
      <c r="O26" s="156"/>
      <c r="P26" s="142">
        <v>3381008</v>
      </c>
      <c r="Q26" s="142"/>
      <c r="R26" s="156"/>
      <c r="S26" s="143" t="s">
        <v>291</v>
      </c>
      <c r="T26" s="158">
        <f>+K13</f>
        <v>4500</v>
      </c>
      <c r="Y26" s="72"/>
    </row>
    <row r="27" spans="1:25" ht="15" customHeight="1" x14ac:dyDescent="0.25">
      <c r="A27" s="28">
        <v>13</v>
      </c>
      <c r="B27" s="33">
        <v>44044</v>
      </c>
      <c r="C27" s="31">
        <f t="shared" ref="C27:C37" si="13">((50000*1.03)/12)</f>
        <v>4291.666666666667</v>
      </c>
      <c r="D27" s="31">
        <f t="shared" si="9"/>
        <v>4154.5981768855163</v>
      </c>
      <c r="E27" s="31">
        <f t="shared" si="2"/>
        <v>3265.4242406651115</v>
      </c>
      <c r="F27" s="31">
        <f t="shared" si="10"/>
        <v>71839.333294632364</v>
      </c>
      <c r="G27" s="31">
        <f t="shared" si="11"/>
        <v>233.09584106714388</v>
      </c>
      <c r="H27" s="31">
        <f t="shared" si="12"/>
        <v>93471.432267924698</v>
      </c>
      <c r="I27" s="30"/>
      <c r="J27" s="30"/>
      <c r="K27" s="32">
        <f t="shared" si="6"/>
        <v>4660.0851455901202</v>
      </c>
      <c r="M27" s="115" t="s">
        <v>289</v>
      </c>
      <c r="N27" s="156"/>
      <c r="O27" s="156"/>
      <c r="P27" s="142"/>
      <c r="Q27" s="142"/>
      <c r="R27" s="156"/>
      <c r="S27" s="156"/>
      <c r="T27" s="157"/>
      <c r="Y27" s="72"/>
    </row>
    <row r="28" spans="1:25" ht="15" customHeight="1" x14ac:dyDescent="0.25">
      <c r="A28" s="28">
        <v>14</v>
      </c>
      <c r="B28" s="33">
        <v>44075</v>
      </c>
      <c r="C28" s="31">
        <f t="shared" si="13"/>
        <v>4291.666666666667</v>
      </c>
      <c r="D28" s="31">
        <f t="shared" si="9"/>
        <v>4144.2375829281973</v>
      </c>
      <c r="E28" s="31">
        <f t="shared" si="2"/>
        <v>3265.4242406651115</v>
      </c>
      <c r="F28" s="31">
        <f t="shared" si="10"/>
        <v>68573.909053967247</v>
      </c>
      <c r="G28" s="31">
        <f t="shared" si="11"/>
        <v>222.94941400314508</v>
      </c>
      <c r="H28" s="31">
        <f t="shared" si="12"/>
        <v>89402.715015261172</v>
      </c>
      <c r="I28" s="30"/>
      <c r="J28" s="30"/>
      <c r="K28" s="32">
        <f t="shared" si="6"/>
        <v>4671.7353584540951</v>
      </c>
      <c r="M28" s="115"/>
      <c r="N28" s="156"/>
      <c r="O28" s="156"/>
      <c r="P28" s="142"/>
      <c r="Q28" s="142"/>
      <c r="R28" s="156"/>
      <c r="S28" s="156"/>
      <c r="T28" s="157"/>
      <c r="Y28" s="72"/>
    </row>
    <row r="29" spans="1:25" ht="15" customHeight="1" x14ac:dyDescent="0.25">
      <c r="A29" s="28">
        <v>15</v>
      </c>
      <c r="B29" s="33">
        <v>44105</v>
      </c>
      <c r="C29" s="31">
        <f t="shared" si="13"/>
        <v>4291.666666666667</v>
      </c>
      <c r="D29" s="31">
        <f t="shared" si="9"/>
        <v>4133.902825863539</v>
      </c>
      <c r="E29" s="31">
        <f t="shared" si="2"/>
        <v>3265.4242406651115</v>
      </c>
      <c r="F29" s="31">
        <f t="shared" si="10"/>
        <v>65308.484813302137</v>
      </c>
      <c r="G29" s="31">
        <f t="shared" si="11"/>
        <v>212.77762087148625</v>
      </c>
      <c r="H29" s="31">
        <f t="shared" si="12"/>
        <v>85323.825969465994</v>
      </c>
      <c r="I29" s="30"/>
      <c r="J29" s="30"/>
      <c r="K29" s="32">
        <f t="shared" si="6"/>
        <v>4683.41469685023</v>
      </c>
      <c r="M29" s="115" t="s">
        <v>205</v>
      </c>
      <c r="N29" s="116" t="s">
        <v>32</v>
      </c>
      <c r="O29" s="40" t="s">
        <v>0</v>
      </c>
      <c r="P29" s="164">
        <v>2241002</v>
      </c>
      <c r="Q29" s="164"/>
      <c r="R29" s="40"/>
      <c r="S29" s="40" t="s">
        <v>251</v>
      </c>
      <c r="T29" s="70">
        <f>SUM(E17:E28)</f>
        <v>39185.090887981329</v>
      </c>
      <c r="Y29" s="72"/>
    </row>
    <row r="30" spans="1:25" ht="15" customHeight="1" x14ac:dyDescent="0.25">
      <c r="A30" s="28">
        <v>16</v>
      </c>
      <c r="B30" s="33">
        <v>44136</v>
      </c>
      <c r="C30" s="31">
        <f t="shared" si="13"/>
        <v>4291.666666666667</v>
      </c>
      <c r="D30" s="31">
        <f t="shared" si="9"/>
        <v>4123.5938412603873</v>
      </c>
      <c r="E30" s="31">
        <f t="shared" si="2"/>
        <v>3265.4242406651115</v>
      </c>
      <c r="F30" s="31">
        <f t="shared" si="10"/>
        <v>62043.060572637027</v>
      </c>
      <c r="G30" s="31">
        <f t="shared" si="11"/>
        <v>202.58039825699831</v>
      </c>
      <c r="H30" s="31">
        <f t="shared" si="12"/>
        <v>81234.739701056315</v>
      </c>
      <c r="I30" s="30"/>
      <c r="J30" s="30"/>
      <c r="K30" s="32">
        <f t="shared" si="6"/>
        <v>4695.1232335923551</v>
      </c>
      <c r="M30" s="60"/>
      <c r="N30" s="61"/>
      <c r="O30" s="40" t="s">
        <v>1</v>
      </c>
      <c r="P30" s="164">
        <v>5311002</v>
      </c>
      <c r="Q30" s="164">
        <v>7353</v>
      </c>
      <c r="R30" s="40"/>
      <c r="S30" s="40" t="s">
        <v>105</v>
      </c>
      <c r="T30" s="70">
        <f>T29</f>
        <v>39185.090887981329</v>
      </c>
      <c r="Y30" s="72"/>
    </row>
    <row r="31" spans="1:25" ht="15" customHeight="1" x14ac:dyDescent="0.25">
      <c r="A31" s="28">
        <v>17</v>
      </c>
      <c r="B31" s="33">
        <v>44166</v>
      </c>
      <c r="C31" s="31">
        <f t="shared" si="13"/>
        <v>4291.666666666667</v>
      </c>
      <c r="D31" s="31">
        <f>+C31/(1+F$1)^A31</f>
        <v>4113.3105648482669</v>
      </c>
      <c r="E31" s="31">
        <f t="shared" si="2"/>
        <v>3265.4242406651115</v>
      </c>
      <c r="F31" s="31">
        <f t="shared" si="10"/>
        <v>58777.636331971917</v>
      </c>
      <c r="G31" s="31">
        <f t="shared" si="11"/>
        <v>192.35768258597412</v>
      </c>
      <c r="H31" s="31">
        <f t="shared" si="12"/>
        <v>77135.430716975621</v>
      </c>
      <c r="I31" s="30"/>
      <c r="J31" s="30"/>
      <c r="K31" s="32">
        <f t="shared" si="6"/>
        <v>4706.8610416763358</v>
      </c>
      <c r="M31" s="133" t="s">
        <v>187</v>
      </c>
      <c r="N31" s="61"/>
      <c r="O31" s="40"/>
      <c r="P31" s="164"/>
      <c r="Q31" s="164"/>
      <c r="R31" s="40"/>
      <c r="S31" s="40"/>
      <c r="T31" s="70"/>
      <c r="Y31" s="72"/>
    </row>
    <row r="32" spans="1:25" ht="15" customHeight="1" x14ac:dyDescent="0.25">
      <c r="A32" s="28">
        <v>18</v>
      </c>
      <c r="B32" s="33">
        <v>44197</v>
      </c>
      <c r="C32" s="31">
        <f t="shared" si="13"/>
        <v>4291.666666666667</v>
      </c>
      <c r="D32" s="31">
        <f t="shared" si="9"/>
        <v>4103.0529325169746</v>
      </c>
      <c r="E32" s="31">
        <f t="shared" si="2"/>
        <v>3265.4242406651115</v>
      </c>
      <c r="F32" s="31">
        <f t="shared" si="10"/>
        <v>55512.212091306807</v>
      </c>
      <c r="G32" s="31">
        <f t="shared" si="11"/>
        <v>182.10941012577237</v>
      </c>
      <c r="H32" s="31">
        <f t="shared" si="12"/>
        <v>73025.873460434726</v>
      </c>
      <c r="I32" s="30"/>
      <c r="J32" s="30"/>
      <c r="K32" s="32">
        <f t="shared" si="6"/>
        <v>4718.6281942805263</v>
      </c>
      <c r="M32" s="60"/>
      <c r="N32" s="61"/>
      <c r="O32" s="40"/>
      <c r="P32" s="164"/>
      <c r="Q32" s="164"/>
      <c r="R32" s="40"/>
      <c r="S32" s="40"/>
      <c r="T32" s="70"/>
      <c r="Y32" s="72"/>
    </row>
    <row r="33" spans="1:26" ht="15" customHeight="1" x14ac:dyDescent="0.25">
      <c r="A33" s="28">
        <v>19</v>
      </c>
      <c r="B33" s="33">
        <v>44228</v>
      </c>
      <c r="C33" s="31">
        <f t="shared" si="13"/>
        <v>4291.666666666667</v>
      </c>
      <c r="D33" s="31">
        <f t="shared" si="9"/>
        <v>4092.8208803161847</v>
      </c>
      <c r="E33" s="31">
        <f t="shared" si="2"/>
        <v>3265.4242406651115</v>
      </c>
      <c r="F33" s="31">
        <f t="shared" si="10"/>
        <v>52246.787850641696</v>
      </c>
      <c r="G33" s="31">
        <f t="shared" si="11"/>
        <v>171.83551698442014</v>
      </c>
      <c r="H33" s="31">
        <f t="shared" si="12"/>
        <v>68906.042310752469</v>
      </c>
      <c r="I33" s="30"/>
      <c r="J33" s="30"/>
      <c r="K33" s="32">
        <f t="shared" si="6"/>
        <v>4730.4247647662269</v>
      </c>
      <c r="M33" s="115" t="s">
        <v>114</v>
      </c>
      <c r="N33" s="116" t="s">
        <v>32</v>
      </c>
      <c r="O33" s="40" t="s">
        <v>0</v>
      </c>
      <c r="P33" s="164">
        <v>3240106</v>
      </c>
      <c r="Q33" s="164"/>
      <c r="R33" s="40"/>
      <c r="S33" s="40" t="s">
        <v>271</v>
      </c>
      <c r="T33" s="70">
        <f>T35-T34</f>
        <v>21476.819869073573</v>
      </c>
      <c r="Y33" s="72"/>
    </row>
    <row r="34" spans="1:26" x14ac:dyDescent="0.25">
      <c r="A34" s="28">
        <v>20</v>
      </c>
      <c r="B34" s="33">
        <v>44256</v>
      </c>
      <c r="C34" s="31">
        <f t="shared" si="13"/>
        <v>4291.666666666667</v>
      </c>
      <c r="D34" s="31">
        <f t="shared" si="9"/>
        <v>4082.6143444550466</v>
      </c>
      <c r="E34" s="31">
        <f t="shared" si="2"/>
        <v>3265.4242406651115</v>
      </c>
      <c r="F34" s="31">
        <f t="shared" si="10"/>
        <v>48981.363609976586</v>
      </c>
      <c r="G34" s="31">
        <f t="shared" si="11"/>
        <v>161.53593911021451</v>
      </c>
      <c r="H34" s="31">
        <f t="shared" si="12"/>
        <v>64775.911583196023</v>
      </c>
      <c r="I34" s="31"/>
      <c r="J34" s="31"/>
      <c r="K34" s="32">
        <f t="shared" si="6"/>
        <v>4742.2508266781424</v>
      </c>
      <c r="M34" s="60"/>
      <c r="N34" s="61"/>
      <c r="O34" s="40" t="s">
        <v>0</v>
      </c>
      <c r="P34" s="164">
        <v>2422020</v>
      </c>
      <c r="Q34" s="164"/>
      <c r="R34" s="40"/>
      <c r="S34" s="40" t="s">
        <v>161</v>
      </c>
      <c r="T34" s="70">
        <f>SUM(G14:G25)</f>
        <v>3523.180130926431</v>
      </c>
      <c r="V34">
        <v>23</v>
      </c>
      <c r="W34">
        <v>13</v>
      </c>
      <c r="X34" s="72">
        <f t="shared" ref="X34:X57" si="14">+(C$50/36)*W34</f>
        <v>46780.138888888912</v>
      </c>
      <c r="Y34" s="72">
        <f>+C26+Y25</f>
        <v>29291.666666666672</v>
      </c>
    </row>
    <row r="35" spans="1:26" x14ac:dyDescent="0.25">
      <c r="A35" s="28">
        <v>21</v>
      </c>
      <c r="B35" s="33">
        <v>44287</v>
      </c>
      <c r="C35" s="31">
        <f t="shared" si="13"/>
        <v>4291.666666666667</v>
      </c>
      <c r="D35" s="31">
        <f t="shared" si="9"/>
        <v>4072.4332613017928</v>
      </c>
      <c r="E35" s="31">
        <f t="shared" si="2"/>
        <v>3265.4242406651115</v>
      </c>
      <c r="F35" s="31">
        <f t="shared" si="10"/>
        <v>45715.939369311476</v>
      </c>
      <c r="G35" s="31">
        <f t="shared" si="11"/>
        <v>151.2106122913234</v>
      </c>
      <c r="H35" s="31">
        <f t="shared" si="12"/>
        <v>60635.455528820683</v>
      </c>
      <c r="I35" s="31"/>
      <c r="J35" s="31"/>
      <c r="K35" s="32">
        <f t="shared" si="6"/>
        <v>4754.1064537448374</v>
      </c>
      <c r="M35" s="60"/>
      <c r="N35" s="61"/>
      <c r="O35" s="40" t="s">
        <v>1</v>
      </c>
      <c r="P35" s="164"/>
      <c r="Q35" s="164"/>
      <c r="R35" s="40"/>
      <c r="S35" s="40" t="s">
        <v>31</v>
      </c>
      <c r="T35" s="70">
        <f>SUM(C14:C25)</f>
        <v>25000.000000000004</v>
      </c>
      <c r="V35">
        <v>22</v>
      </c>
      <c r="W35">
        <v>14</v>
      </c>
      <c r="X35" s="72">
        <f t="shared" si="14"/>
        <v>50378.611111111139</v>
      </c>
      <c r="Y35" s="72">
        <f t="shared" ref="Y35:Y57" si="15">+C27+Y34</f>
        <v>33583.333333333336</v>
      </c>
    </row>
    <row r="36" spans="1:26" x14ac:dyDescent="0.25">
      <c r="A36" s="28">
        <v>22</v>
      </c>
      <c r="B36" s="33">
        <v>44317</v>
      </c>
      <c r="C36" s="31">
        <f t="shared" si="13"/>
        <v>4291.666666666667</v>
      </c>
      <c r="D36" s="31">
        <f t="shared" si="9"/>
        <v>4062.2775673833353</v>
      </c>
      <c r="E36" s="31">
        <f t="shared" si="2"/>
        <v>3265.4242406651115</v>
      </c>
      <c r="F36" s="31">
        <f t="shared" si="10"/>
        <v>42450.515128646366</v>
      </c>
      <c r="G36" s="31">
        <f t="shared" si="11"/>
        <v>140.85947215538505</v>
      </c>
      <c r="H36" s="31">
        <f t="shared" si="12"/>
        <v>56484.648334309401</v>
      </c>
      <c r="I36" s="31"/>
      <c r="J36" s="31"/>
      <c r="K36" s="32">
        <f t="shared" si="6"/>
        <v>4765.9917198791991</v>
      </c>
      <c r="M36" s="133" t="s">
        <v>117</v>
      </c>
      <c r="N36" s="61"/>
      <c r="O36" s="40"/>
      <c r="P36" s="164"/>
      <c r="Q36" s="164"/>
      <c r="R36" s="40"/>
      <c r="S36" s="40"/>
      <c r="T36" s="70"/>
      <c r="V36">
        <v>21</v>
      </c>
      <c r="W36">
        <v>15</v>
      </c>
      <c r="X36" s="72">
        <f t="shared" si="14"/>
        <v>53977.083333333358</v>
      </c>
      <c r="Y36" s="72">
        <f t="shared" si="15"/>
        <v>37875</v>
      </c>
    </row>
    <row r="37" spans="1:26" ht="15" customHeight="1" x14ac:dyDescent="0.25">
      <c r="A37" s="28">
        <v>23</v>
      </c>
      <c r="B37" s="33">
        <v>44348</v>
      </c>
      <c r="C37" s="31">
        <f t="shared" si="13"/>
        <v>4291.666666666667</v>
      </c>
      <c r="D37" s="31">
        <f>+C37/(1+F$1)^A37</f>
        <v>4052.1471993848727</v>
      </c>
      <c r="E37" s="31">
        <f t="shared" si="2"/>
        <v>3265.4242406651115</v>
      </c>
      <c r="F37" s="31">
        <f t="shared" si="10"/>
        <v>39185.090887981256</v>
      </c>
      <c r="G37" s="31">
        <f t="shared" si="11"/>
        <v>130.48245416910683</v>
      </c>
      <c r="H37" s="31">
        <f t="shared" si="12"/>
        <v>52323.464121811841</v>
      </c>
      <c r="I37" s="30">
        <v>6000</v>
      </c>
      <c r="J37" s="31"/>
      <c r="K37" s="32">
        <f t="shared" si="6"/>
        <v>4777.9066991788968</v>
      </c>
      <c r="M37" s="60"/>
      <c r="N37" s="61"/>
      <c r="O37" s="40"/>
      <c r="P37" s="164"/>
      <c r="Q37" s="164"/>
      <c r="R37" s="40"/>
      <c r="S37" s="40"/>
      <c r="T37" s="70"/>
      <c r="V37">
        <v>20</v>
      </c>
      <c r="W37">
        <v>16</v>
      </c>
      <c r="X37" s="72">
        <f t="shared" si="14"/>
        <v>57575.555555555584</v>
      </c>
      <c r="Y37" s="72">
        <f t="shared" si="15"/>
        <v>42166.666666666664</v>
      </c>
    </row>
    <row r="38" spans="1:26" x14ac:dyDescent="0.25">
      <c r="A38" s="28">
        <v>24</v>
      </c>
      <c r="B38" s="33">
        <v>44378</v>
      </c>
      <c r="C38" s="31">
        <f>(50000*1.03^2)/12</f>
        <v>4420.416666666667</v>
      </c>
      <c r="D38" s="31">
        <f>+C38/(1+F$1)^A38</f>
        <v>4163.3033569739846</v>
      </c>
      <c r="E38" s="31">
        <f t="shared" ref="E38:E49" si="16">+(F$37-I$37)/12</f>
        <v>2765.4242406651047</v>
      </c>
      <c r="F38" s="30">
        <f>+(F37-I37)-E38</f>
        <v>30419.666647316153</v>
      </c>
      <c r="G38" s="31">
        <f t="shared" si="11"/>
        <v>119.75761863786295</v>
      </c>
      <c r="H38" s="31">
        <f t="shared" si="12"/>
        <v>48022.805073783042</v>
      </c>
      <c r="J38" s="31"/>
      <c r="K38" s="32">
        <f t="shared" si="6"/>
        <v>4789.851465926844</v>
      </c>
      <c r="M38" s="115" t="s">
        <v>116</v>
      </c>
      <c r="N38" s="116" t="s">
        <v>32</v>
      </c>
      <c r="O38" s="116" t="s">
        <v>0</v>
      </c>
      <c r="P38" s="165">
        <v>2241002</v>
      </c>
      <c r="Q38" s="165"/>
      <c r="R38" s="116"/>
      <c r="S38" s="116" t="s">
        <v>251</v>
      </c>
      <c r="T38" s="159">
        <v>5000</v>
      </c>
      <c r="V38">
        <v>19</v>
      </c>
      <c r="W38">
        <v>17</v>
      </c>
      <c r="X38" s="72">
        <f t="shared" si="14"/>
        <v>61174.02777777781</v>
      </c>
      <c r="Y38" s="72">
        <f t="shared" si="15"/>
        <v>46458.333333333328</v>
      </c>
      <c r="Z38" s="72"/>
    </row>
    <row r="39" spans="1:26" x14ac:dyDescent="0.25">
      <c r="A39" s="28">
        <v>25</v>
      </c>
      <c r="B39" s="33">
        <v>44409</v>
      </c>
      <c r="C39" s="31">
        <f t="shared" ref="C39:C49" si="17">(50000*1.03^2)/12</f>
        <v>4420.416666666667</v>
      </c>
      <c r="D39" s="31">
        <f t="shared" si="9"/>
        <v>4152.9210543381387</v>
      </c>
      <c r="E39" s="31">
        <f t="shared" si="16"/>
        <v>2765.4242406651047</v>
      </c>
      <c r="F39" s="31">
        <f t="shared" ref="F39:F49" si="18">+F38-E39</f>
        <v>27654.24240665105</v>
      </c>
      <c r="G39" s="31">
        <f t="shared" si="11"/>
        <v>109.00597101779094</v>
      </c>
      <c r="H39" s="31">
        <f t="shared" si="12"/>
        <v>43711.394378134166</v>
      </c>
      <c r="I39" s="31"/>
      <c r="J39" s="31"/>
      <c r="K39" s="32">
        <f t="shared" si="6"/>
        <v>4801.8260945916609</v>
      </c>
      <c r="M39" s="115"/>
      <c r="N39" s="116"/>
      <c r="O39" s="116" t="s">
        <v>1</v>
      </c>
      <c r="P39" s="165">
        <v>5311002</v>
      </c>
      <c r="Q39" s="165">
        <v>7153</v>
      </c>
      <c r="R39" s="116"/>
      <c r="S39" s="116" t="s">
        <v>340</v>
      </c>
      <c r="T39" s="159">
        <v>5000</v>
      </c>
      <c r="V39">
        <v>18</v>
      </c>
      <c r="W39">
        <v>18</v>
      </c>
      <c r="X39" s="72">
        <f t="shared" si="14"/>
        <v>64772.500000000029</v>
      </c>
      <c r="Y39" s="72">
        <f t="shared" si="15"/>
        <v>50749.999999999993</v>
      </c>
    </row>
    <row r="40" spans="1:26" x14ac:dyDescent="0.25">
      <c r="A40" s="28">
        <v>26</v>
      </c>
      <c r="B40" s="33">
        <v>44440</v>
      </c>
      <c r="C40" s="31">
        <f t="shared" si="17"/>
        <v>4420.416666666667</v>
      </c>
      <c r="D40" s="31">
        <f t="shared" si="9"/>
        <v>4142.5646427313104</v>
      </c>
      <c r="E40" s="31">
        <f t="shared" si="16"/>
        <v>2765.4242406651047</v>
      </c>
      <c r="F40" s="31">
        <f t="shared" si="18"/>
        <v>24888.818165985947</v>
      </c>
      <c r="G40" s="31">
        <f t="shared" si="11"/>
        <v>98.227444278668756</v>
      </c>
      <c r="H40" s="31">
        <f t="shared" si="12"/>
        <v>39389.205155746167</v>
      </c>
      <c r="I40" s="31"/>
      <c r="J40" s="31"/>
      <c r="K40" s="32">
        <f t="shared" si="6"/>
        <v>4813.8306598281397</v>
      </c>
      <c r="M40" s="115" t="s">
        <v>285</v>
      </c>
      <c r="N40" s="116"/>
      <c r="O40" s="116"/>
      <c r="P40" s="165"/>
      <c r="Q40" s="165"/>
      <c r="R40" s="116"/>
      <c r="S40" s="116"/>
      <c r="T40" s="159"/>
      <c r="V40">
        <v>17</v>
      </c>
      <c r="W40">
        <v>19</v>
      </c>
      <c r="X40" s="72">
        <f t="shared" si="14"/>
        <v>68370.972222222263</v>
      </c>
      <c r="Y40" s="72">
        <f t="shared" si="15"/>
        <v>55041.666666666657</v>
      </c>
    </row>
    <row r="41" spans="1:26" x14ac:dyDescent="0.25">
      <c r="A41" s="28">
        <v>27</v>
      </c>
      <c r="B41" s="33">
        <v>44470</v>
      </c>
      <c r="C41" s="31">
        <f t="shared" si="17"/>
        <v>4420.416666666667</v>
      </c>
      <c r="D41" s="31">
        <f t="shared" si="9"/>
        <v>4132.2340575873422</v>
      </c>
      <c r="E41" s="31">
        <f t="shared" si="16"/>
        <v>2765.4242406651047</v>
      </c>
      <c r="F41" s="31">
        <f t="shared" si="18"/>
        <v>22123.393925320845</v>
      </c>
      <c r="G41" s="31">
        <f t="shared" si="11"/>
        <v>87.421971222698758</v>
      </c>
      <c r="H41" s="31">
        <f t="shared" si="12"/>
        <v>35056.210460302202</v>
      </c>
      <c r="I41" s="31"/>
      <c r="J41" s="31"/>
      <c r="K41" s="32">
        <f t="shared" si="6"/>
        <v>4825.8652364777099</v>
      </c>
      <c r="M41" s="60"/>
      <c r="N41" s="61"/>
      <c r="O41" s="40"/>
      <c r="P41" s="164"/>
      <c r="Q41" s="164"/>
      <c r="R41" s="40"/>
      <c r="S41" s="40"/>
      <c r="T41" s="70"/>
      <c r="V41">
        <v>16</v>
      </c>
      <c r="W41">
        <v>20</v>
      </c>
      <c r="X41" s="72">
        <f t="shared" si="14"/>
        <v>71969.444444444482</v>
      </c>
      <c r="Y41" s="72">
        <f t="shared" si="15"/>
        <v>59333.333333333321</v>
      </c>
    </row>
    <row r="42" spans="1:26" x14ac:dyDescent="0.25">
      <c r="A42" s="28">
        <v>28</v>
      </c>
      <c r="B42" s="33">
        <v>44501</v>
      </c>
      <c r="C42" s="31">
        <f t="shared" si="17"/>
        <v>4420.416666666667</v>
      </c>
      <c r="D42" s="31">
        <f t="shared" si="9"/>
        <v>4121.9292345010899</v>
      </c>
      <c r="E42" s="31">
        <f t="shared" si="16"/>
        <v>2765.4242406651047</v>
      </c>
      <c r="F42" s="31">
        <f t="shared" si="18"/>
        <v>19357.969684655742</v>
      </c>
      <c r="G42" s="31">
        <f t="shared" si="11"/>
        <v>76.589484484088842</v>
      </c>
      <c r="H42" s="31">
        <f t="shared" si="12"/>
        <v>30712.383278119622</v>
      </c>
      <c r="I42" s="31"/>
      <c r="J42" s="31"/>
      <c r="K42" s="32">
        <f t="shared" si="6"/>
        <v>4837.9298995689041</v>
      </c>
      <c r="M42" s="115" t="s">
        <v>118</v>
      </c>
      <c r="N42" s="116" t="s">
        <v>32</v>
      </c>
      <c r="O42" s="116" t="s">
        <v>0</v>
      </c>
      <c r="P42" s="165">
        <v>2422008</v>
      </c>
      <c r="Q42" s="165"/>
      <c r="R42" s="116"/>
      <c r="S42" s="116" t="s">
        <v>292</v>
      </c>
      <c r="T42" s="159">
        <f>0.03*4500</f>
        <v>135</v>
      </c>
      <c r="V42">
        <v>15</v>
      </c>
      <c r="W42">
        <v>21</v>
      </c>
      <c r="X42" s="72">
        <f t="shared" si="14"/>
        <v>75567.916666666701</v>
      </c>
      <c r="Y42" s="72">
        <f t="shared" si="15"/>
        <v>63624.999999999985</v>
      </c>
    </row>
    <row r="43" spans="1:26" x14ac:dyDescent="0.25">
      <c r="A43" s="28">
        <v>29</v>
      </c>
      <c r="B43" s="33">
        <v>44531</v>
      </c>
      <c r="C43" s="31">
        <f t="shared" si="17"/>
        <v>4420.416666666667</v>
      </c>
      <c r="D43" s="31">
        <f t="shared" si="9"/>
        <v>4111.6501092280196</v>
      </c>
      <c r="E43" s="31">
        <f t="shared" si="16"/>
        <v>2765.4242406651047</v>
      </c>
      <c r="F43" s="31">
        <f t="shared" si="18"/>
        <v>16592.545443990639</v>
      </c>
      <c r="G43" s="31">
        <f t="shared" si="11"/>
        <v>65.729916528632387</v>
      </c>
      <c r="H43" s="31">
        <f t="shared" si="12"/>
        <v>26357.696527981585</v>
      </c>
      <c r="I43" s="31"/>
      <c r="J43" s="31"/>
      <c r="K43" s="32">
        <f t="shared" si="6"/>
        <v>4850.0247243178264</v>
      </c>
      <c r="M43" s="115"/>
      <c r="N43" s="116"/>
      <c r="O43" s="116" t="s">
        <v>1</v>
      </c>
      <c r="P43" s="165">
        <v>3381008</v>
      </c>
      <c r="Q43" s="165"/>
      <c r="R43" s="116"/>
      <c r="S43" s="116" t="s">
        <v>291</v>
      </c>
      <c r="T43" s="159">
        <f>+T42</f>
        <v>135</v>
      </c>
      <c r="V43">
        <v>14</v>
      </c>
      <c r="W43">
        <v>22</v>
      </c>
      <c r="X43" s="72">
        <f t="shared" si="14"/>
        <v>79166.388888888934</v>
      </c>
      <c r="Y43" s="72">
        <f t="shared" si="15"/>
        <v>67916.666666666657</v>
      </c>
    </row>
    <row r="44" spans="1:26" x14ac:dyDescent="0.25">
      <c r="A44" s="28">
        <v>30</v>
      </c>
      <c r="B44" s="33">
        <v>44562</v>
      </c>
      <c r="C44" s="31">
        <f t="shared" si="17"/>
        <v>4420.416666666667</v>
      </c>
      <c r="D44" s="31">
        <f t="shared" si="9"/>
        <v>4101.3966176838112</v>
      </c>
      <c r="E44" s="31">
        <f t="shared" si="16"/>
        <v>2765.4242406651047</v>
      </c>
      <c r="F44" s="31">
        <f t="shared" si="18"/>
        <v>13827.121203325534</v>
      </c>
      <c r="G44" s="31">
        <f t="shared" si="11"/>
        <v>54.843199653287293</v>
      </c>
      <c r="H44" s="31">
        <f t="shared" si="12"/>
        <v>21992.123060968206</v>
      </c>
      <c r="I44" s="31"/>
      <c r="J44" s="31"/>
      <c r="K44" s="32">
        <f t="shared" si="6"/>
        <v>4862.1497861286207</v>
      </c>
      <c r="M44" s="115" t="s">
        <v>290</v>
      </c>
      <c r="N44" s="116"/>
      <c r="O44" s="116"/>
      <c r="P44" s="165"/>
      <c r="Q44" s="165"/>
      <c r="R44" s="116"/>
      <c r="S44" s="116"/>
      <c r="T44" s="159"/>
      <c r="V44">
        <v>13</v>
      </c>
      <c r="W44">
        <v>23</v>
      </c>
      <c r="X44" s="72">
        <f t="shared" si="14"/>
        <v>82764.861111111153</v>
      </c>
      <c r="Y44" s="72">
        <f t="shared" si="15"/>
        <v>72208.333333333328</v>
      </c>
    </row>
    <row r="45" spans="1:26" ht="15.75" thickBot="1" x14ac:dyDescent="0.3">
      <c r="A45" s="28">
        <v>31</v>
      </c>
      <c r="B45" s="33">
        <v>44593</v>
      </c>
      <c r="C45" s="31">
        <f t="shared" si="17"/>
        <v>4420.416666666667</v>
      </c>
      <c r="D45" s="31">
        <f t="shared" si="9"/>
        <v>4091.1686959439517</v>
      </c>
      <c r="E45" s="31">
        <f t="shared" si="16"/>
        <v>2765.4242406651047</v>
      </c>
      <c r="F45" s="31">
        <f t="shared" si="18"/>
        <v>11061.69696266043</v>
      </c>
      <c r="G45" s="31">
        <f t="shared" si="11"/>
        <v>43.929265985753844</v>
      </c>
      <c r="H45" s="31">
        <f t="shared" si="12"/>
        <v>17615.635660287291</v>
      </c>
      <c r="I45" s="31"/>
      <c r="J45" s="31"/>
      <c r="K45" s="32">
        <f t="shared" si="6"/>
        <v>4874.3051605939418</v>
      </c>
      <c r="M45" s="115"/>
      <c r="N45" s="116"/>
      <c r="O45" s="116"/>
      <c r="P45" s="165"/>
      <c r="Q45" s="165"/>
      <c r="R45" s="116"/>
      <c r="S45" s="116"/>
      <c r="T45" s="159"/>
      <c r="V45">
        <v>12</v>
      </c>
      <c r="W45">
        <v>24</v>
      </c>
      <c r="X45" s="72">
        <f t="shared" si="14"/>
        <v>86363.333333333372</v>
      </c>
      <c r="Y45" s="72">
        <f t="shared" si="15"/>
        <v>76500</v>
      </c>
    </row>
    <row r="46" spans="1:26" x14ac:dyDescent="0.25">
      <c r="A46" s="28">
        <v>32</v>
      </c>
      <c r="B46" s="33">
        <v>44621</v>
      </c>
      <c r="C46" s="31">
        <f t="shared" si="17"/>
        <v>4420.416666666667</v>
      </c>
      <c r="D46" s="31">
        <f t="shared" si="9"/>
        <v>4080.9662802433427</v>
      </c>
      <c r="E46" s="31">
        <f t="shared" si="16"/>
        <v>2765.4242406651047</v>
      </c>
      <c r="F46" s="31">
        <f t="shared" si="18"/>
        <v>8296.2727219953249</v>
      </c>
      <c r="G46" s="31">
        <f t="shared" si="11"/>
        <v>32.988047484051556</v>
      </c>
      <c r="H46" s="31">
        <f t="shared" si="12"/>
        <v>13228.207041104675</v>
      </c>
      <c r="I46" s="31"/>
      <c r="J46" s="31"/>
      <c r="K46" s="32">
        <f t="shared" si="6"/>
        <v>4886.4909234954266</v>
      </c>
      <c r="M46" s="124" t="s">
        <v>120</v>
      </c>
      <c r="N46" s="125" t="s">
        <v>106</v>
      </c>
      <c r="O46" s="51" t="s">
        <v>0</v>
      </c>
      <c r="P46" s="166">
        <v>2241002</v>
      </c>
      <c r="Q46" s="166"/>
      <c r="R46" s="51"/>
      <c r="S46" s="51" t="s">
        <v>251</v>
      </c>
      <c r="T46" s="69">
        <f>SUM(E26:E37)</f>
        <v>39185.090887981329</v>
      </c>
      <c r="V46">
        <v>11</v>
      </c>
      <c r="W46">
        <v>25</v>
      </c>
      <c r="X46" s="72">
        <f t="shared" si="14"/>
        <v>89961.805555555606</v>
      </c>
      <c r="Y46" s="72">
        <f t="shared" si="15"/>
        <v>80920.416666666672</v>
      </c>
    </row>
    <row r="47" spans="1:26" x14ac:dyDescent="0.25">
      <c r="A47" s="28">
        <v>33</v>
      </c>
      <c r="B47" s="33">
        <v>44652</v>
      </c>
      <c r="C47" s="31">
        <f t="shared" si="17"/>
        <v>4420.416666666667</v>
      </c>
      <c r="D47" s="31">
        <f t="shared" si="9"/>
        <v>4070.7893069759029</v>
      </c>
      <c r="E47" s="31">
        <f t="shared" si="16"/>
        <v>2765.4242406651047</v>
      </c>
      <c r="F47" s="31">
        <f t="shared" si="18"/>
        <v>5530.8484813302202</v>
      </c>
      <c r="G47" s="31">
        <f t="shared" si="11"/>
        <v>22.019475936095024</v>
      </c>
      <c r="H47" s="31">
        <f t="shared" si="12"/>
        <v>8829.8098503741039</v>
      </c>
      <c r="I47" s="31"/>
      <c r="J47" s="31"/>
      <c r="K47" s="32">
        <f t="shared" si="6"/>
        <v>4898.7071508041645</v>
      </c>
      <c r="M47" s="60"/>
      <c r="N47" s="61"/>
      <c r="O47" s="40" t="s">
        <v>1</v>
      </c>
      <c r="P47" s="164">
        <v>5311002</v>
      </c>
      <c r="Q47" s="164">
        <v>7353</v>
      </c>
      <c r="R47" s="40"/>
      <c r="S47" s="40" t="s">
        <v>105</v>
      </c>
      <c r="T47" s="70">
        <f>T46</f>
        <v>39185.090887981329</v>
      </c>
      <c r="V47">
        <v>10</v>
      </c>
      <c r="W47">
        <v>26</v>
      </c>
      <c r="X47" s="72">
        <f t="shared" si="14"/>
        <v>93560.277777777825</v>
      </c>
      <c r="Y47" s="72">
        <f t="shared" si="15"/>
        <v>85340.833333333343</v>
      </c>
    </row>
    <row r="48" spans="1:26" x14ac:dyDescent="0.25">
      <c r="A48" s="28">
        <v>34</v>
      </c>
      <c r="B48" s="33">
        <v>44682</v>
      </c>
      <c r="C48" s="31">
        <f t="shared" si="17"/>
        <v>4420.416666666667</v>
      </c>
      <c r="D48" s="31">
        <f t="shared" si="9"/>
        <v>4060.6377126941679</v>
      </c>
      <c r="E48" s="31">
        <f t="shared" si="16"/>
        <v>2765.4242406651047</v>
      </c>
      <c r="F48" s="31">
        <f t="shared" si="18"/>
        <v>2765.4242406651156</v>
      </c>
      <c r="G48" s="31">
        <f t="shared" si="11"/>
        <v>11.023482959268593</v>
      </c>
      <c r="H48" s="31">
        <f t="shared" si="12"/>
        <v>4420.4166666667052</v>
      </c>
      <c r="I48" s="31"/>
      <c r="J48" s="31"/>
      <c r="K48" s="32">
        <f t="shared" si="6"/>
        <v>4910.9539186811744</v>
      </c>
      <c r="M48" s="133" t="s">
        <v>188</v>
      </c>
      <c r="N48" s="61"/>
      <c r="O48" s="40"/>
      <c r="P48" s="164"/>
      <c r="Q48" s="164"/>
      <c r="R48" s="40"/>
      <c r="S48" s="40"/>
      <c r="T48" s="70"/>
      <c r="V48">
        <v>9</v>
      </c>
      <c r="W48">
        <v>27</v>
      </c>
      <c r="X48" s="72">
        <f t="shared" si="14"/>
        <v>97158.750000000044</v>
      </c>
      <c r="Y48" s="72">
        <f t="shared" si="15"/>
        <v>89761.250000000015</v>
      </c>
    </row>
    <row r="49" spans="1:25" x14ac:dyDescent="0.25">
      <c r="A49" s="28">
        <v>35</v>
      </c>
      <c r="B49" s="33">
        <v>44713</v>
      </c>
      <c r="C49" s="31">
        <f t="shared" si="17"/>
        <v>4420.416666666667</v>
      </c>
      <c r="D49" s="31">
        <f>+C49/(1+F$1)^A49</f>
        <v>4050.5114341088961</v>
      </c>
      <c r="E49" s="31">
        <f t="shared" si="16"/>
        <v>2765.4242406651047</v>
      </c>
      <c r="F49" s="31">
        <f t="shared" si="18"/>
        <v>1.0913936421275139E-11</v>
      </c>
      <c r="G49" s="31">
        <f t="shared" si="11"/>
        <v>9.5496943686157461E-14</v>
      </c>
      <c r="H49" s="31">
        <f t="shared" si="12"/>
        <v>3.8294274418149141E-11</v>
      </c>
      <c r="I49" s="31"/>
      <c r="J49" s="31"/>
      <c r="K49" s="32">
        <f t="shared" si="6"/>
        <v>4923.2313034778772</v>
      </c>
      <c r="M49" s="60"/>
      <c r="N49" s="61"/>
      <c r="O49" s="40"/>
      <c r="P49" s="164"/>
      <c r="Q49" s="164"/>
      <c r="R49" s="40"/>
      <c r="S49" s="40"/>
      <c r="T49" s="70"/>
      <c r="V49">
        <v>8</v>
      </c>
      <c r="W49">
        <v>28</v>
      </c>
      <c r="X49" s="72">
        <f t="shared" si="14"/>
        <v>100757.22222222228</v>
      </c>
      <c r="Y49" s="72">
        <f t="shared" si="15"/>
        <v>94181.666666666686</v>
      </c>
    </row>
    <row r="50" spans="1:25" x14ac:dyDescent="0.25">
      <c r="A50" s="28"/>
      <c r="B50" s="29"/>
      <c r="C50" s="30">
        <f>SUM(C13:C49)</f>
        <v>129545.00000000006</v>
      </c>
      <c r="D50" s="30">
        <f>SUM(D13:D49)</f>
        <v>123055.27266394401</v>
      </c>
      <c r="E50" s="30">
        <f>SUM(E13:E49)</f>
        <v>111555.27266394391</v>
      </c>
      <c r="F50" s="29"/>
      <c r="G50" s="30">
        <f>SUM(G13:G49)</f>
        <v>6489.7273360561085</v>
      </c>
      <c r="H50" s="29"/>
      <c r="I50" s="31"/>
      <c r="J50" s="31"/>
      <c r="K50" s="32"/>
      <c r="M50" s="115" t="s">
        <v>122</v>
      </c>
      <c r="N50" s="116" t="s">
        <v>106</v>
      </c>
      <c r="O50" s="40" t="s">
        <v>0</v>
      </c>
      <c r="P50" s="164">
        <v>3240106</v>
      </c>
      <c r="Q50" s="164"/>
      <c r="R50" s="40"/>
      <c r="S50" s="40" t="s">
        <v>271</v>
      </c>
      <c r="T50" s="70">
        <f>T52-T51</f>
        <v>49254.988673058513</v>
      </c>
      <c r="V50">
        <v>7</v>
      </c>
      <c r="W50">
        <v>29</v>
      </c>
      <c r="X50" s="72">
        <f t="shared" si="14"/>
        <v>104355.6944444445</v>
      </c>
      <c r="Y50" s="72">
        <f t="shared" si="15"/>
        <v>98602.083333333358</v>
      </c>
    </row>
    <row r="51" spans="1:25" x14ac:dyDescent="0.25">
      <c r="A51" s="28"/>
      <c r="B51" s="29"/>
      <c r="C51" s="29"/>
      <c r="D51" s="29"/>
      <c r="E51" s="29"/>
      <c r="F51" s="29"/>
      <c r="G51" s="29"/>
      <c r="H51" s="29"/>
      <c r="I51" s="31"/>
      <c r="J51" s="31"/>
      <c r="K51" s="32"/>
      <c r="M51" s="60"/>
      <c r="N51" s="61"/>
      <c r="O51" s="40" t="s">
        <v>0</v>
      </c>
      <c r="P51" s="164">
        <v>2422020</v>
      </c>
      <c r="Q51" s="164"/>
      <c r="R51" s="40"/>
      <c r="S51" s="40" t="s">
        <v>161</v>
      </c>
      <c r="T51" s="70">
        <f>SUM(G26:G37)</f>
        <v>2245.0113269414792</v>
      </c>
      <c r="V51">
        <v>6</v>
      </c>
      <c r="W51">
        <v>30</v>
      </c>
      <c r="X51" s="72">
        <f t="shared" si="14"/>
        <v>107954.16666666672</v>
      </c>
      <c r="Y51" s="72">
        <f t="shared" si="15"/>
        <v>103022.50000000003</v>
      </c>
    </row>
    <row r="52" spans="1:25" x14ac:dyDescent="0.25">
      <c r="A52" s="28"/>
      <c r="B52" s="29"/>
      <c r="C52" s="29"/>
      <c r="D52" s="29"/>
      <c r="E52" s="29"/>
      <c r="F52" s="29"/>
      <c r="G52" s="29"/>
      <c r="H52" s="29"/>
      <c r="I52" s="31"/>
      <c r="J52" s="31"/>
      <c r="K52" s="32"/>
      <c r="M52" s="60"/>
      <c r="N52" s="61"/>
      <c r="O52" s="40" t="s">
        <v>1</v>
      </c>
      <c r="P52" s="164"/>
      <c r="Q52" s="164"/>
      <c r="R52" s="40"/>
      <c r="S52" s="40" t="s">
        <v>31</v>
      </c>
      <c r="T52" s="70">
        <f>SUM(C26:C37)</f>
        <v>51499.999999999993</v>
      </c>
      <c r="V52">
        <v>5</v>
      </c>
      <c r="W52">
        <v>31</v>
      </c>
      <c r="X52" s="72">
        <f t="shared" si="14"/>
        <v>111552.63888888895</v>
      </c>
      <c r="Y52" s="72">
        <f t="shared" si="15"/>
        <v>107442.9166666667</v>
      </c>
    </row>
    <row r="53" spans="1:25" x14ac:dyDescent="0.25">
      <c r="A53" s="28"/>
      <c r="B53" s="29"/>
      <c r="C53" s="29"/>
      <c r="D53" s="29"/>
      <c r="E53" s="29"/>
      <c r="F53" s="29"/>
      <c r="G53" s="29"/>
      <c r="H53" s="29"/>
      <c r="I53" s="31"/>
      <c r="J53" s="31"/>
      <c r="K53" s="32"/>
      <c r="M53" s="133" t="s">
        <v>119</v>
      </c>
      <c r="N53" s="61"/>
      <c r="O53" s="40"/>
      <c r="P53" s="164"/>
      <c r="Q53" s="164"/>
      <c r="R53" s="40"/>
      <c r="S53" s="40"/>
      <c r="T53" s="70"/>
      <c r="V53">
        <v>4</v>
      </c>
      <c r="W53">
        <v>32</v>
      </c>
      <c r="X53" s="72">
        <f t="shared" si="14"/>
        <v>115151.11111111117</v>
      </c>
      <c r="Y53" s="72">
        <f t="shared" si="15"/>
        <v>111863.33333333337</v>
      </c>
    </row>
    <row r="54" spans="1:25" x14ac:dyDescent="0.25">
      <c r="A54" s="28"/>
      <c r="B54" s="29"/>
      <c r="C54" s="29"/>
      <c r="D54" s="29"/>
      <c r="E54" s="31"/>
      <c r="F54" s="29"/>
      <c r="G54" s="29"/>
      <c r="H54" s="29"/>
      <c r="I54" s="31"/>
      <c r="J54" s="31"/>
      <c r="K54" s="32"/>
      <c r="M54" s="60"/>
      <c r="N54" s="61"/>
      <c r="O54" s="40"/>
      <c r="P54" s="142"/>
      <c r="Q54" s="142"/>
      <c r="R54" s="142"/>
      <c r="S54" s="142"/>
      <c r="T54" s="70"/>
      <c r="V54">
        <v>3</v>
      </c>
      <c r="W54">
        <v>33</v>
      </c>
      <c r="X54" s="72">
        <f t="shared" si="14"/>
        <v>118749.58333333339</v>
      </c>
      <c r="Y54" s="72">
        <f t="shared" si="15"/>
        <v>116283.75000000004</v>
      </c>
    </row>
    <row r="55" spans="1:25" x14ac:dyDescent="0.25">
      <c r="A55" s="28"/>
      <c r="B55" s="29"/>
      <c r="C55" s="29"/>
      <c r="D55" s="29"/>
      <c r="E55" s="29"/>
      <c r="F55" s="29"/>
      <c r="G55" s="29"/>
      <c r="H55" s="29"/>
      <c r="I55" s="31"/>
      <c r="J55" s="31"/>
      <c r="K55" s="32"/>
      <c r="M55" s="115" t="s">
        <v>200</v>
      </c>
      <c r="N55" s="116" t="s">
        <v>106</v>
      </c>
      <c r="O55" s="116" t="s">
        <v>0</v>
      </c>
      <c r="P55" s="142">
        <v>2241002</v>
      </c>
      <c r="Q55" s="142"/>
      <c r="R55" s="142"/>
      <c r="S55" s="143" t="s">
        <v>251</v>
      </c>
      <c r="T55" s="159">
        <v>5000</v>
      </c>
      <c r="V55">
        <v>2</v>
      </c>
      <c r="W55">
        <v>34</v>
      </c>
      <c r="X55" s="72">
        <f t="shared" si="14"/>
        <v>122348.05555555562</v>
      </c>
      <c r="Y55" s="72">
        <f t="shared" si="15"/>
        <v>120704.16666666672</v>
      </c>
    </row>
    <row r="56" spans="1:25" x14ac:dyDescent="0.25">
      <c r="A56" s="28"/>
      <c r="B56" s="29"/>
      <c r="C56" s="29"/>
      <c r="D56" s="29"/>
      <c r="E56" s="29"/>
      <c r="F56" s="29"/>
      <c r="G56" s="29"/>
      <c r="H56" s="29"/>
      <c r="I56" s="31"/>
      <c r="J56" s="31"/>
      <c r="K56" s="32"/>
      <c r="M56" s="115"/>
      <c r="N56" s="116"/>
      <c r="O56" s="116" t="s">
        <v>1</v>
      </c>
      <c r="P56" s="142">
        <v>5311002</v>
      </c>
      <c r="Q56" s="142">
        <v>7153</v>
      </c>
      <c r="R56" s="142"/>
      <c r="S56" s="155" t="s">
        <v>340</v>
      </c>
      <c r="T56" s="159">
        <v>5000</v>
      </c>
      <c r="V56">
        <v>1</v>
      </c>
      <c r="W56">
        <v>35</v>
      </c>
      <c r="X56" s="72">
        <f t="shared" si="14"/>
        <v>125946.52777777784</v>
      </c>
      <c r="Y56" s="72">
        <f t="shared" si="15"/>
        <v>125124.58333333339</v>
      </c>
    </row>
    <row r="57" spans="1:25" x14ac:dyDescent="0.25">
      <c r="A57" s="28"/>
      <c r="B57" s="29"/>
      <c r="C57" s="29"/>
      <c r="D57" s="29"/>
      <c r="E57" s="29"/>
      <c r="F57" s="29"/>
      <c r="G57" s="29"/>
      <c r="H57" s="29"/>
      <c r="I57" s="31"/>
      <c r="J57" s="31"/>
      <c r="K57" s="32"/>
      <c r="M57" s="115" t="s">
        <v>294</v>
      </c>
      <c r="N57" s="116"/>
      <c r="O57" s="116"/>
      <c r="P57" s="165"/>
      <c r="Q57" s="165"/>
      <c r="R57" s="116"/>
      <c r="S57" s="116"/>
      <c r="T57" s="159"/>
      <c r="V57">
        <v>0</v>
      </c>
      <c r="W57">
        <v>36</v>
      </c>
      <c r="X57" s="72">
        <f t="shared" si="14"/>
        <v>129545.00000000006</v>
      </c>
      <c r="Y57" s="72">
        <f t="shared" si="15"/>
        <v>129545.00000000006</v>
      </c>
    </row>
    <row r="58" spans="1:25" ht="15.75" thickBot="1" x14ac:dyDescent="0.3">
      <c r="A58" s="35"/>
      <c r="B58" s="36"/>
      <c r="C58" s="36"/>
      <c r="D58" s="36"/>
      <c r="E58" s="36"/>
      <c r="F58" s="36"/>
      <c r="G58" s="36"/>
      <c r="H58" s="36"/>
      <c r="I58" s="36"/>
      <c r="J58" s="36"/>
      <c r="K58" s="38"/>
      <c r="M58" s="115"/>
      <c r="N58" s="116"/>
      <c r="O58" s="116"/>
      <c r="P58" s="165"/>
      <c r="Q58" s="165"/>
      <c r="R58" s="116"/>
      <c r="S58" s="116"/>
      <c r="T58" s="159"/>
    </row>
    <row r="59" spans="1:25" x14ac:dyDescent="0.25">
      <c r="A59" s="29"/>
      <c r="B59" s="29"/>
      <c r="C59" s="29"/>
      <c r="D59" s="29"/>
      <c r="E59" s="29"/>
      <c r="F59" s="29"/>
      <c r="G59" s="29"/>
      <c r="H59" s="29"/>
      <c r="I59" s="29"/>
      <c r="J59" s="29"/>
      <c r="K59" s="29"/>
      <c r="M59" s="115" t="s">
        <v>201</v>
      </c>
      <c r="N59" s="116" t="s">
        <v>106</v>
      </c>
      <c r="O59" s="116" t="s">
        <v>0</v>
      </c>
      <c r="P59" s="165">
        <v>2422008</v>
      </c>
      <c r="Q59" s="165"/>
      <c r="R59" s="116"/>
      <c r="S59" s="116" t="s">
        <v>292</v>
      </c>
      <c r="T59" s="159">
        <f>(0.03*4635)+1</f>
        <v>140.04999999999998</v>
      </c>
    </row>
    <row r="60" spans="1:25" x14ac:dyDescent="0.25">
      <c r="A60" s="29"/>
      <c r="B60" s="29"/>
      <c r="C60" s="29"/>
      <c r="D60" s="29"/>
      <c r="E60" s="29"/>
      <c r="F60" s="29"/>
      <c r="G60" s="29"/>
      <c r="H60" s="29"/>
      <c r="I60" s="29"/>
      <c r="J60" s="29"/>
      <c r="K60" s="29"/>
      <c r="M60" s="115"/>
      <c r="N60" s="116"/>
      <c r="O60" s="116" t="s">
        <v>1</v>
      </c>
      <c r="P60" s="165">
        <v>3381008</v>
      </c>
      <c r="Q60" s="165"/>
      <c r="R60" s="116"/>
      <c r="S60" s="116" t="s">
        <v>291</v>
      </c>
      <c r="T60" s="159">
        <f>+T59</f>
        <v>140.04999999999998</v>
      </c>
    </row>
    <row r="61" spans="1:25" x14ac:dyDescent="0.25">
      <c r="A61" s="29"/>
      <c r="B61" s="29"/>
      <c r="C61" s="29"/>
      <c r="D61" s="29"/>
      <c r="E61" s="29"/>
      <c r="F61" s="29"/>
      <c r="G61" s="29"/>
      <c r="H61" s="29"/>
      <c r="I61" s="29"/>
      <c r="J61" s="29"/>
      <c r="K61" s="29"/>
      <c r="M61" s="115" t="s">
        <v>295</v>
      </c>
      <c r="N61" s="116"/>
      <c r="O61" s="116"/>
      <c r="P61" s="165"/>
      <c r="Q61" s="165"/>
      <c r="R61" s="116"/>
      <c r="S61" s="116"/>
      <c r="T61" s="159"/>
    </row>
    <row r="62" spans="1:25" ht="15.75" thickBot="1" x14ac:dyDescent="0.3">
      <c r="A62" s="29"/>
      <c r="B62" s="29"/>
      <c r="C62" s="29"/>
      <c r="D62" s="29"/>
      <c r="E62" s="29"/>
      <c r="F62" s="29"/>
      <c r="G62" s="29"/>
      <c r="H62" s="29"/>
      <c r="I62" s="29"/>
      <c r="J62" s="29"/>
      <c r="K62" s="29"/>
      <c r="M62" s="115"/>
      <c r="N62" s="116"/>
      <c r="O62" s="116"/>
      <c r="P62" s="165"/>
      <c r="Q62" s="165"/>
      <c r="R62" s="116"/>
      <c r="S62" s="116"/>
      <c r="T62" s="159"/>
    </row>
    <row r="63" spans="1:25" x14ac:dyDescent="0.25">
      <c r="A63" s="29"/>
      <c r="B63" s="29"/>
      <c r="C63" s="29"/>
      <c r="D63" s="29"/>
      <c r="E63" s="29"/>
      <c r="F63" s="29"/>
      <c r="G63" s="29"/>
      <c r="H63" s="29"/>
      <c r="I63" s="29"/>
      <c r="J63" s="29"/>
      <c r="K63" s="29"/>
      <c r="M63" s="124" t="s">
        <v>202</v>
      </c>
      <c r="N63" s="138">
        <v>44378</v>
      </c>
      <c r="O63" s="125"/>
      <c r="P63" s="169">
        <v>2254001</v>
      </c>
      <c r="Q63" s="169"/>
      <c r="R63" s="169"/>
      <c r="S63" s="183" t="s">
        <v>319</v>
      </c>
      <c r="T63" s="170">
        <v>6000</v>
      </c>
    </row>
    <row r="64" spans="1:25" x14ac:dyDescent="0.25">
      <c r="A64" s="29"/>
      <c r="B64" s="29"/>
      <c r="C64" s="29"/>
      <c r="D64" s="29"/>
      <c r="E64" s="29"/>
      <c r="F64" s="29"/>
      <c r="G64" s="29"/>
      <c r="H64" s="29"/>
      <c r="I64" s="29"/>
      <c r="J64" s="29"/>
      <c r="K64" s="29"/>
      <c r="M64" s="115"/>
      <c r="N64" s="116"/>
      <c r="O64" s="116"/>
      <c r="P64" s="142">
        <v>5311002</v>
      </c>
      <c r="Q64" s="142">
        <v>7333</v>
      </c>
      <c r="R64" s="142"/>
      <c r="S64" s="143" t="s">
        <v>146</v>
      </c>
      <c r="T64" s="159">
        <v>6000</v>
      </c>
    </row>
    <row r="65" spans="1:20" x14ac:dyDescent="0.25">
      <c r="A65" s="29"/>
      <c r="B65" s="29"/>
      <c r="C65" s="29"/>
      <c r="D65" s="29"/>
      <c r="E65" s="29"/>
      <c r="F65" s="29"/>
      <c r="G65" s="29"/>
      <c r="H65" s="29"/>
      <c r="I65" s="29"/>
      <c r="J65" s="29"/>
      <c r="K65" s="29"/>
      <c r="M65" s="115" t="s">
        <v>287</v>
      </c>
      <c r="N65" s="116"/>
      <c r="O65" s="116"/>
      <c r="P65" s="142"/>
      <c r="Q65" s="142"/>
      <c r="R65" s="142"/>
      <c r="S65" s="143"/>
      <c r="T65" s="159"/>
    </row>
    <row r="66" spans="1:20" x14ac:dyDescent="0.25">
      <c r="A66" s="29"/>
      <c r="B66" s="29"/>
      <c r="C66" s="29"/>
      <c r="D66" s="29"/>
      <c r="E66" s="29"/>
      <c r="F66" s="29"/>
      <c r="G66" s="29"/>
      <c r="H66" s="29"/>
      <c r="I66" s="29"/>
      <c r="J66" s="29"/>
      <c r="K66" s="29"/>
      <c r="M66" s="115"/>
      <c r="N66" s="116"/>
      <c r="O66" s="116"/>
      <c r="P66" s="142"/>
      <c r="Q66" s="142"/>
      <c r="R66" s="142"/>
      <c r="S66" s="143"/>
      <c r="T66" s="159"/>
    </row>
    <row r="67" spans="1:20" x14ac:dyDescent="0.25">
      <c r="A67" s="29"/>
      <c r="B67" s="29"/>
      <c r="C67" s="29"/>
      <c r="D67" s="29"/>
      <c r="E67" s="29"/>
      <c r="F67" s="29"/>
      <c r="G67" s="29"/>
      <c r="H67" s="29"/>
      <c r="I67" s="29"/>
      <c r="J67" s="29"/>
      <c r="K67" s="29"/>
      <c r="M67" s="115" t="s">
        <v>203</v>
      </c>
      <c r="N67" s="116" t="s">
        <v>107</v>
      </c>
      <c r="O67" s="40" t="s">
        <v>0</v>
      </c>
      <c r="P67" s="164">
        <v>2241002</v>
      </c>
      <c r="Q67" s="164"/>
      <c r="R67" s="40"/>
      <c r="S67" s="40" t="s">
        <v>251</v>
      </c>
      <c r="T67" s="70">
        <f>SUM(E38:E49)</f>
        <v>33185.090887981249</v>
      </c>
    </row>
    <row r="68" spans="1:20" x14ac:dyDescent="0.25">
      <c r="A68" s="29"/>
      <c r="B68" s="29"/>
      <c r="C68" s="29"/>
      <c r="D68" s="29"/>
      <c r="E68" s="29"/>
      <c r="F68" s="29"/>
      <c r="G68" s="29"/>
      <c r="H68" s="29"/>
      <c r="I68" s="29"/>
      <c r="J68" s="29"/>
      <c r="K68" s="29"/>
      <c r="M68" s="60"/>
      <c r="N68" s="61"/>
      <c r="O68" s="40" t="s">
        <v>1</v>
      </c>
      <c r="P68" s="164">
        <v>5311002</v>
      </c>
      <c r="Q68" s="164">
        <v>7353</v>
      </c>
      <c r="R68" s="40"/>
      <c r="S68" s="40" t="s">
        <v>105</v>
      </c>
      <c r="T68" s="70">
        <f>T67</f>
        <v>33185.090887981249</v>
      </c>
    </row>
    <row r="69" spans="1:20" x14ac:dyDescent="0.25">
      <c r="A69" s="29"/>
      <c r="B69" s="29"/>
      <c r="C69" s="29"/>
      <c r="D69" s="29"/>
      <c r="E69" s="29"/>
      <c r="F69" s="29"/>
      <c r="G69" s="29"/>
      <c r="H69" s="29"/>
      <c r="I69" s="29"/>
      <c r="J69" s="29"/>
      <c r="K69" s="29"/>
      <c r="M69" s="133" t="s">
        <v>193</v>
      </c>
      <c r="N69" s="61"/>
      <c r="O69" s="40"/>
      <c r="P69" s="164"/>
      <c r="Q69" s="164"/>
      <c r="R69" s="40"/>
      <c r="S69" s="40"/>
      <c r="T69" s="70"/>
    </row>
    <row r="70" spans="1:20" x14ac:dyDescent="0.25">
      <c r="A70" s="29"/>
      <c r="B70" s="29"/>
      <c r="C70" s="29"/>
      <c r="D70" s="29"/>
      <c r="E70" s="29"/>
      <c r="F70" s="29"/>
      <c r="G70" s="29"/>
      <c r="H70" s="29"/>
      <c r="I70" s="29"/>
      <c r="J70" s="29"/>
      <c r="K70" s="29"/>
      <c r="M70" s="60"/>
      <c r="N70" s="61"/>
      <c r="O70" s="40"/>
      <c r="P70" s="164"/>
      <c r="Q70" s="164"/>
      <c r="R70" s="40"/>
      <c r="S70" s="40"/>
      <c r="T70" s="70"/>
    </row>
    <row r="71" spans="1:20" x14ac:dyDescent="0.25">
      <c r="A71" s="29"/>
      <c r="B71" s="29"/>
      <c r="C71" s="29"/>
      <c r="D71" s="29"/>
      <c r="E71" s="29"/>
      <c r="F71" s="29"/>
      <c r="G71" s="29"/>
      <c r="H71" s="29"/>
      <c r="I71" s="29"/>
      <c r="J71" s="29"/>
      <c r="K71" s="29"/>
      <c r="M71" s="134" t="s">
        <v>204</v>
      </c>
      <c r="N71" s="116" t="s">
        <v>107</v>
      </c>
      <c r="O71" s="40" t="s">
        <v>0</v>
      </c>
      <c r="P71" s="164">
        <v>3240106</v>
      </c>
      <c r="Q71" s="164"/>
      <c r="R71" s="40"/>
      <c r="S71" s="40" t="s">
        <v>271</v>
      </c>
      <c r="T71" s="70">
        <f>T73-T72</f>
        <v>52323.46412181179</v>
      </c>
    </row>
    <row r="72" spans="1:20" x14ac:dyDescent="0.25">
      <c r="A72" s="29"/>
      <c r="B72" s="29"/>
      <c r="C72" s="29"/>
      <c r="D72" s="29"/>
      <c r="E72" s="29"/>
      <c r="F72" s="29"/>
      <c r="G72" s="29"/>
      <c r="H72" s="29"/>
      <c r="I72" s="29"/>
      <c r="J72" s="29"/>
      <c r="K72" s="29"/>
      <c r="M72" s="60"/>
      <c r="N72" s="61"/>
      <c r="O72" s="40" t="s">
        <v>0</v>
      </c>
      <c r="P72" s="164">
        <v>2422020</v>
      </c>
      <c r="Q72" s="164"/>
      <c r="R72" s="40"/>
      <c r="S72" s="40" t="s">
        <v>161</v>
      </c>
      <c r="T72" s="70">
        <f>SUM(G38:G49)</f>
        <v>721.53587818819915</v>
      </c>
    </row>
    <row r="73" spans="1:20" x14ac:dyDescent="0.25">
      <c r="A73" s="29"/>
      <c r="B73" s="29"/>
      <c r="C73" s="29"/>
      <c r="D73" s="29"/>
      <c r="E73" s="29"/>
      <c r="F73" s="29"/>
      <c r="G73" s="29"/>
      <c r="H73" s="29"/>
      <c r="I73" s="29"/>
      <c r="J73" s="29"/>
      <c r="K73" s="29"/>
      <c r="M73" s="60"/>
      <c r="N73" s="61"/>
      <c r="O73" s="40" t="s">
        <v>1</v>
      </c>
      <c r="P73" s="164"/>
      <c r="Q73" s="164"/>
      <c r="R73" s="40"/>
      <c r="S73" s="40" t="s">
        <v>31</v>
      </c>
      <c r="T73" s="70">
        <f>SUM(C38:C49)</f>
        <v>53044.999999999993</v>
      </c>
    </row>
    <row r="74" spans="1:20" ht="15.75" customHeight="1" x14ac:dyDescent="0.25">
      <c r="M74" s="133" t="s">
        <v>121</v>
      </c>
      <c r="N74" s="61"/>
      <c r="O74" s="40"/>
      <c r="P74" s="164"/>
      <c r="Q74" s="164"/>
      <c r="R74" s="40"/>
      <c r="S74" s="40"/>
      <c r="T74" s="70"/>
    </row>
    <row r="75" spans="1:20" ht="15.75" customHeight="1" x14ac:dyDescent="0.25">
      <c r="M75" s="133"/>
      <c r="N75" s="61"/>
      <c r="O75" s="40"/>
      <c r="P75" s="164"/>
      <c r="Q75" s="164"/>
      <c r="R75" s="40"/>
      <c r="S75" s="40"/>
      <c r="T75" s="70"/>
    </row>
    <row r="76" spans="1:20" ht="15.75" customHeight="1" x14ac:dyDescent="0.25">
      <c r="M76" s="115" t="s">
        <v>318</v>
      </c>
      <c r="N76" s="116" t="s">
        <v>107</v>
      </c>
      <c r="O76" s="116" t="s">
        <v>0</v>
      </c>
      <c r="P76" s="165">
        <v>2422008</v>
      </c>
      <c r="Q76" s="165"/>
      <c r="R76" s="116"/>
      <c r="S76" s="116" t="s">
        <v>292</v>
      </c>
      <c r="T76" s="159">
        <f>(0.03*4775)+2</f>
        <v>145.25</v>
      </c>
    </row>
    <row r="77" spans="1:20" ht="15.75" customHeight="1" x14ac:dyDescent="0.25">
      <c r="M77" s="115"/>
      <c r="N77" s="116"/>
      <c r="O77" s="116" t="s">
        <v>1</v>
      </c>
      <c r="P77" s="165">
        <v>3381008</v>
      </c>
      <c r="Q77" s="165"/>
      <c r="R77" s="116"/>
      <c r="S77" s="116" t="s">
        <v>291</v>
      </c>
      <c r="T77" s="159">
        <f>+T76</f>
        <v>145.25</v>
      </c>
    </row>
    <row r="78" spans="1:20" ht="12.75" customHeight="1" thickBot="1" x14ac:dyDescent="0.3">
      <c r="C78" s="72"/>
      <c r="M78" s="136" t="s">
        <v>296</v>
      </c>
      <c r="N78" s="137"/>
      <c r="O78" s="137"/>
      <c r="P78" s="172"/>
      <c r="Q78" s="172"/>
      <c r="R78" s="137"/>
      <c r="S78" s="137"/>
      <c r="T78" s="173"/>
    </row>
    <row r="79" spans="1:20" ht="14.25" customHeight="1" thickBot="1" x14ac:dyDescent="0.3"/>
    <row r="80" spans="1:20" x14ac:dyDescent="0.25">
      <c r="A80" s="278" t="s">
        <v>278</v>
      </c>
      <c r="B80" s="279"/>
      <c r="C80" s="279"/>
      <c r="D80" s="279"/>
      <c r="E80" s="279"/>
      <c r="F80" s="279"/>
      <c r="G80" s="279"/>
      <c r="H80" s="279"/>
      <c r="I80" s="279"/>
      <c r="J80" s="279"/>
      <c r="K80" s="279"/>
      <c r="L80" s="279"/>
      <c r="M80" s="279"/>
      <c r="N80" s="279"/>
      <c r="O80" s="279"/>
      <c r="P80" s="279"/>
      <c r="Q80" s="279"/>
      <c r="R80" s="279"/>
      <c r="S80" s="279"/>
      <c r="T80" s="280"/>
    </row>
    <row r="81" spans="1:24" x14ac:dyDescent="0.25">
      <c r="A81" s="287" t="s">
        <v>438</v>
      </c>
      <c r="B81" s="288"/>
      <c r="C81" s="288"/>
      <c r="D81" s="288"/>
      <c r="E81" s="288"/>
      <c r="F81" s="288"/>
      <c r="G81" s="288"/>
      <c r="H81" s="288"/>
      <c r="I81" s="288"/>
      <c r="J81" s="288"/>
      <c r="K81" s="288"/>
      <c r="L81" s="288"/>
      <c r="M81" s="288"/>
      <c r="N81" s="288"/>
      <c r="O81" s="288"/>
      <c r="P81" s="288"/>
      <c r="Q81" s="288"/>
      <c r="R81" s="288"/>
      <c r="S81" s="288"/>
      <c r="T81" s="289"/>
    </row>
    <row r="82" spans="1:24" x14ac:dyDescent="0.25">
      <c r="A82" s="287" t="s">
        <v>309</v>
      </c>
      <c r="B82" s="288"/>
      <c r="C82" s="288"/>
      <c r="D82" s="288"/>
      <c r="E82" s="288"/>
      <c r="F82" s="288"/>
      <c r="G82" s="288"/>
      <c r="H82" s="288"/>
      <c r="I82" s="288"/>
      <c r="J82" s="288"/>
      <c r="K82" s="288"/>
      <c r="L82" s="288"/>
      <c r="M82" s="288"/>
      <c r="N82" s="288"/>
      <c r="O82" s="288"/>
      <c r="P82" s="288"/>
      <c r="Q82" s="288"/>
      <c r="R82" s="288"/>
      <c r="S82" s="288"/>
      <c r="T82" s="289"/>
    </row>
    <row r="83" spans="1:24" ht="15.75" thickBot="1" x14ac:dyDescent="0.3">
      <c r="A83" s="447" t="s">
        <v>280</v>
      </c>
      <c r="B83" s="448"/>
      <c r="C83" s="448"/>
      <c r="D83" s="448"/>
      <c r="E83" s="448"/>
      <c r="F83" s="448"/>
      <c r="G83" s="448"/>
      <c r="H83" s="448"/>
      <c r="I83" s="448"/>
      <c r="J83" s="448"/>
      <c r="K83" s="448"/>
      <c r="L83" s="448"/>
      <c r="M83" s="448"/>
      <c r="N83" s="448"/>
      <c r="O83" s="448"/>
      <c r="P83" s="448"/>
      <c r="Q83" s="448"/>
      <c r="R83" s="448"/>
      <c r="S83" s="448"/>
      <c r="T83" s="449"/>
    </row>
    <row r="84" spans="1:24" ht="15.75" thickBot="1" x14ac:dyDescent="0.3">
      <c r="A84" s="290"/>
      <c r="B84" s="290"/>
      <c r="C84" s="290"/>
      <c r="D84" s="290"/>
      <c r="E84" s="290"/>
      <c r="F84" s="290"/>
      <c r="G84" s="290"/>
      <c r="H84" s="290"/>
      <c r="I84" s="290"/>
      <c r="J84" s="290"/>
      <c r="K84" s="290"/>
      <c r="L84" s="290"/>
      <c r="M84" s="290"/>
      <c r="N84" s="290"/>
      <c r="O84" s="290"/>
      <c r="P84" s="290"/>
      <c r="Q84" s="290"/>
      <c r="R84" s="290"/>
      <c r="S84" s="290"/>
      <c r="T84" s="290"/>
    </row>
    <row r="85" spans="1:24" s="107" customFormat="1" x14ac:dyDescent="0.25">
      <c r="A85" s="278" t="s">
        <v>223</v>
      </c>
      <c r="B85" s="279"/>
      <c r="C85" s="279"/>
      <c r="D85" s="279"/>
      <c r="E85" s="279"/>
      <c r="F85" s="279"/>
      <c r="G85" s="279"/>
      <c r="H85" s="279"/>
      <c r="I85" s="279"/>
      <c r="J85" s="279"/>
      <c r="K85" s="279"/>
      <c r="L85" s="279"/>
      <c r="M85" s="279"/>
      <c r="N85" s="279"/>
      <c r="O85" s="279"/>
      <c r="P85" s="279"/>
      <c r="Q85" s="279"/>
      <c r="R85" s="279"/>
      <c r="S85" s="279"/>
      <c r="T85" s="280"/>
      <c r="X85" s="149"/>
    </row>
    <row r="86" spans="1:24" s="107" customFormat="1" x14ac:dyDescent="0.25">
      <c r="A86" s="308" t="s">
        <v>241</v>
      </c>
      <c r="B86" s="309"/>
      <c r="C86" s="309"/>
      <c r="D86" s="309"/>
      <c r="E86" s="309"/>
      <c r="F86" s="309"/>
      <c r="G86" s="309"/>
      <c r="H86" s="309"/>
      <c r="I86" s="309"/>
      <c r="J86" s="309"/>
      <c r="K86" s="309"/>
      <c r="L86" s="309"/>
      <c r="M86" s="309"/>
      <c r="N86" s="309"/>
      <c r="O86" s="309"/>
      <c r="P86" s="309"/>
      <c r="Q86" s="309"/>
      <c r="R86" s="309"/>
      <c r="S86" s="309"/>
      <c r="T86" s="310"/>
      <c r="X86" s="149"/>
    </row>
    <row r="87" spans="1:24" s="107" customFormat="1" x14ac:dyDescent="0.25">
      <c r="A87" s="311"/>
      <c r="B87" s="312"/>
      <c r="C87" s="312"/>
      <c r="D87" s="312"/>
      <c r="E87" s="312"/>
      <c r="F87" s="312"/>
      <c r="G87" s="312"/>
      <c r="H87" s="312"/>
      <c r="I87" s="312"/>
      <c r="J87" s="312"/>
      <c r="K87" s="312"/>
      <c r="L87" s="312"/>
      <c r="M87" s="312"/>
      <c r="N87" s="312"/>
      <c r="O87" s="312"/>
      <c r="P87" s="312"/>
      <c r="Q87" s="312"/>
      <c r="R87" s="312"/>
      <c r="S87" s="312"/>
      <c r="T87" s="313"/>
      <c r="X87" s="149"/>
    </row>
    <row r="88" spans="1:24" x14ac:dyDescent="0.25">
      <c r="A88" s="299" t="s">
        <v>297</v>
      </c>
      <c r="B88" s="300"/>
      <c r="C88" s="300"/>
      <c r="D88" s="300"/>
      <c r="E88" s="300"/>
      <c r="F88" s="300"/>
      <c r="G88" s="300"/>
      <c r="H88" s="300"/>
      <c r="I88" s="300"/>
      <c r="J88" s="300"/>
      <c r="K88" s="300"/>
      <c r="L88" s="300"/>
      <c r="M88" s="300"/>
      <c r="N88" s="300"/>
      <c r="O88" s="300"/>
      <c r="P88" s="300"/>
      <c r="Q88" s="300"/>
      <c r="R88" s="300"/>
      <c r="S88" s="300"/>
      <c r="T88" s="301"/>
    </row>
    <row r="89" spans="1:24" ht="18" customHeight="1" x14ac:dyDescent="0.25">
      <c r="A89" s="294" t="s">
        <v>298</v>
      </c>
      <c r="B89" s="295"/>
      <c r="C89" s="295"/>
      <c r="D89" s="295"/>
      <c r="E89" s="295"/>
      <c r="F89" s="295"/>
      <c r="G89" s="295"/>
      <c r="H89" s="295"/>
      <c r="I89" s="295"/>
      <c r="J89" s="295"/>
      <c r="K89" s="295"/>
      <c r="L89" s="295"/>
      <c r="M89" s="295"/>
      <c r="N89" s="295"/>
      <c r="O89" s="295"/>
      <c r="P89" s="295"/>
      <c r="Q89" s="295"/>
      <c r="R89" s="295"/>
      <c r="S89" s="295"/>
      <c r="T89" s="296"/>
    </row>
    <row r="90" spans="1:24" ht="112.5" customHeight="1" x14ac:dyDescent="0.25">
      <c r="A90" s="294" t="s">
        <v>299</v>
      </c>
      <c r="B90" s="297"/>
      <c r="C90" s="297"/>
      <c r="D90" s="297"/>
      <c r="E90" s="297"/>
      <c r="F90" s="297"/>
      <c r="G90" s="297"/>
      <c r="H90" s="297"/>
      <c r="I90" s="297"/>
      <c r="J90" s="297"/>
      <c r="K90" s="297"/>
      <c r="L90" s="297"/>
      <c r="M90" s="297"/>
      <c r="N90" s="297"/>
      <c r="O90" s="297"/>
      <c r="P90" s="297"/>
      <c r="Q90" s="297"/>
      <c r="R90" s="297"/>
      <c r="S90" s="297"/>
      <c r="T90" s="298"/>
    </row>
    <row r="91" spans="1:24" ht="65.25" customHeight="1" x14ac:dyDescent="0.25">
      <c r="A91" s="294" t="s">
        <v>300</v>
      </c>
      <c r="B91" s="295"/>
      <c r="C91" s="295"/>
      <c r="D91" s="295"/>
      <c r="E91" s="295"/>
      <c r="F91" s="295"/>
      <c r="G91" s="295"/>
      <c r="H91" s="295"/>
      <c r="I91" s="295"/>
      <c r="J91" s="295"/>
      <c r="K91" s="295"/>
      <c r="L91" s="295"/>
      <c r="M91" s="295"/>
      <c r="N91" s="295"/>
      <c r="O91" s="295"/>
      <c r="P91" s="295"/>
      <c r="Q91" s="295"/>
      <c r="R91" s="295"/>
      <c r="S91" s="295"/>
      <c r="T91" s="296"/>
    </row>
    <row r="92" spans="1:24" ht="21" customHeight="1" x14ac:dyDescent="0.25">
      <c r="A92" s="294" t="s">
        <v>301</v>
      </c>
      <c r="B92" s="297"/>
      <c r="C92" s="297"/>
      <c r="D92" s="297"/>
      <c r="E92" s="297"/>
      <c r="F92" s="297"/>
      <c r="G92" s="297"/>
      <c r="H92" s="297"/>
      <c r="I92" s="297"/>
      <c r="J92" s="297"/>
      <c r="K92" s="297"/>
      <c r="L92" s="297"/>
      <c r="M92" s="297"/>
      <c r="N92" s="297"/>
      <c r="O92" s="297"/>
      <c r="P92" s="297"/>
      <c r="Q92" s="297"/>
      <c r="R92" s="297"/>
      <c r="S92" s="297"/>
      <c r="T92" s="298"/>
    </row>
    <row r="93" spans="1:24" ht="14.25" customHeight="1" x14ac:dyDescent="0.25">
      <c r="A93" s="294"/>
      <c r="B93" s="297"/>
      <c r="C93" s="297"/>
      <c r="D93" s="297"/>
      <c r="E93" s="297"/>
      <c r="F93" s="297"/>
      <c r="G93" s="297"/>
      <c r="H93" s="297"/>
      <c r="I93" s="297"/>
      <c r="J93" s="297"/>
      <c r="K93" s="297"/>
      <c r="L93" s="297"/>
      <c r="M93" s="297"/>
      <c r="N93" s="297"/>
      <c r="O93" s="297"/>
      <c r="P93" s="297"/>
      <c r="Q93" s="297"/>
      <c r="R93" s="297"/>
      <c r="S93" s="297"/>
      <c r="T93" s="298"/>
    </row>
    <row r="94" spans="1:24" ht="18.75" customHeight="1" x14ac:dyDescent="0.25">
      <c r="A94" s="299" t="s">
        <v>302</v>
      </c>
      <c r="B94" s="330"/>
      <c r="C94" s="330"/>
      <c r="D94" s="330"/>
      <c r="E94" s="330"/>
      <c r="F94" s="330"/>
      <c r="G94" s="330"/>
      <c r="H94" s="330"/>
      <c r="I94" s="330"/>
      <c r="J94" s="330"/>
      <c r="K94" s="330"/>
      <c r="L94" s="330"/>
      <c r="M94" s="330"/>
      <c r="N94" s="330"/>
      <c r="O94" s="330"/>
      <c r="P94" s="330"/>
      <c r="Q94" s="330"/>
      <c r="R94" s="330"/>
      <c r="S94" s="330"/>
      <c r="T94" s="331"/>
    </row>
    <row r="95" spans="1:24" s="1" customFormat="1" ht="22.5" customHeight="1" x14ac:dyDescent="0.25">
      <c r="A95" s="299" t="s">
        <v>303</v>
      </c>
      <c r="B95" s="330"/>
      <c r="C95" s="330"/>
      <c r="D95" s="330"/>
      <c r="E95" s="330"/>
      <c r="F95" s="330"/>
      <c r="G95" s="330"/>
      <c r="H95" s="330"/>
      <c r="I95" s="330"/>
      <c r="J95" s="330"/>
      <c r="K95" s="330"/>
      <c r="L95" s="330"/>
      <c r="M95" s="330"/>
      <c r="N95" s="330"/>
      <c r="O95" s="330"/>
      <c r="P95" s="330"/>
      <c r="Q95" s="330"/>
      <c r="R95" s="330"/>
      <c r="S95" s="330"/>
      <c r="T95" s="331"/>
      <c r="X95" s="148"/>
    </row>
    <row r="96" spans="1:24" ht="30" customHeight="1" x14ac:dyDescent="0.25">
      <c r="A96" s="294" t="s">
        <v>304</v>
      </c>
      <c r="B96" s="297"/>
      <c r="C96" s="297"/>
      <c r="D96" s="297"/>
      <c r="E96" s="297"/>
      <c r="F96" s="297"/>
      <c r="G96" s="297"/>
      <c r="H96" s="297"/>
      <c r="I96" s="297"/>
      <c r="J96" s="297"/>
      <c r="K96" s="297"/>
      <c r="L96" s="297"/>
      <c r="M96" s="297"/>
      <c r="N96" s="297"/>
      <c r="O96" s="297"/>
      <c r="P96" s="297"/>
      <c r="Q96" s="297"/>
      <c r="R96" s="297"/>
      <c r="S96" s="297"/>
      <c r="T96" s="298"/>
    </row>
    <row r="97" spans="1:24" ht="51" customHeight="1" x14ac:dyDescent="0.25">
      <c r="A97" s="294" t="s">
        <v>305</v>
      </c>
      <c r="B97" s="297"/>
      <c r="C97" s="297"/>
      <c r="D97" s="297"/>
      <c r="E97" s="297"/>
      <c r="F97" s="297"/>
      <c r="G97" s="297"/>
      <c r="H97" s="297"/>
      <c r="I97" s="297"/>
      <c r="J97" s="297"/>
      <c r="K97" s="297"/>
      <c r="L97" s="297"/>
      <c r="M97" s="297"/>
      <c r="N97" s="297"/>
      <c r="O97" s="297"/>
      <c r="P97" s="297"/>
      <c r="Q97" s="297"/>
      <c r="R97" s="297"/>
      <c r="S97" s="297"/>
      <c r="T97" s="298"/>
    </row>
    <row r="98" spans="1:24" s="175" customFormat="1" ht="108" customHeight="1" x14ac:dyDescent="0.25">
      <c r="A98" s="327" t="s">
        <v>308</v>
      </c>
      <c r="B98" s="328"/>
      <c r="C98" s="328"/>
      <c r="D98" s="328"/>
      <c r="E98" s="328"/>
      <c r="F98" s="328"/>
      <c r="G98" s="328"/>
      <c r="H98" s="328"/>
      <c r="I98" s="328"/>
      <c r="J98" s="328"/>
      <c r="K98" s="328"/>
      <c r="L98" s="328"/>
      <c r="M98" s="328"/>
      <c r="N98" s="328"/>
      <c r="O98" s="328"/>
      <c r="P98" s="328"/>
      <c r="Q98" s="328"/>
      <c r="R98" s="328"/>
      <c r="S98" s="328"/>
      <c r="T98" s="329"/>
      <c r="X98" s="176"/>
    </row>
    <row r="99" spans="1:24" s="175" customFormat="1" ht="33.75" customHeight="1" x14ac:dyDescent="0.25">
      <c r="A99" s="327" t="s">
        <v>306</v>
      </c>
      <c r="B99" s="328"/>
      <c r="C99" s="328"/>
      <c r="D99" s="328"/>
      <c r="E99" s="328"/>
      <c r="F99" s="328"/>
      <c r="G99" s="328"/>
      <c r="H99" s="328"/>
      <c r="I99" s="328"/>
      <c r="J99" s="328"/>
      <c r="K99" s="328"/>
      <c r="L99" s="328"/>
      <c r="M99" s="328"/>
      <c r="N99" s="328"/>
      <c r="O99" s="328"/>
      <c r="P99" s="328"/>
      <c r="Q99" s="328"/>
      <c r="R99" s="328"/>
      <c r="S99" s="328"/>
      <c r="T99" s="329"/>
      <c r="X99" s="176"/>
    </row>
    <row r="100" spans="1:24" s="175" customFormat="1" ht="35.25" customHeight="1" x14ac:dyDescent="0.25">
      <c r="A100" s="327" t="s">
        <v>307</v>
      </c>
      <c r="B100" s="328"/>
      <c r="C100" s="328"/>
      <c r="D100" s="328"/>
      <c r="E100" s="328"/>
      <c r="F100" s="328"/>
      <c r="G100" s="328"/>
      <c r="H100" s="328"/>
      <c r="I100" s="328"/>
      <c r="J100" s="328"/>
      <c r="K100" s="328"/>
      <c r="L100" s="328"/>
      <c r="M100" s="328"/>
      <c r="N100" s="328"/>
      <c r="O100" s="328"/>
      <c r="P100" s="328"/>
      <c r="Q100" s="328"/>
      <c r="R100" s="328"/>
      <c r="S100" s="328"/>
      <c r="T100" s="329"/>
      <c r="X100" s="176"/>
    </row>
    <row r="101" spans="1:24" s="175" customFormat="1" ht="19.5" customHeight="1" x14ac:dyDescent="0.25">
      <c r="A101" s="299" t="s">
        <v>321</v>
      </c>
      <c r="B101" s="330"/>
      <c r="C101" s="330"/>
      <c r="D101" s="330"/>
      <c r="E101" s="330"/>
      <c r="F101" s="330"/>
      <c r="G101" s="330"/>
      <c r="H101" s="330"/>
      <c r="I101" s="330"/>
      <c r="J101" s="330"/>
      <c r="K101" s="330"/>
      <c r="L101" s="330"/>
      <c r="M101" s="330"/>
      <c r="N101" s="330"/>
      <c r="O101" s="330"/>
      <c r="P101" s="330"/>
      <c r="Q101" s="330"/>
      <c r="R101" s="330"/>
      <c r="S101" s="330"/>
      <c r="T101" s="331"/>
      <c r="X101" s="176"/>
    </row>
    <row r="102" spans="1:24" s="175" customFormat="1" ht="36" customHeight="1" x14ac:dyDescent="0.25">
      <c r="A102" s="317" t="s">
        <v>322</v>
      </c>
      <c r="B102" s="318"/>
      <c r="C102" s="318"/>
      <c r="D102" s="318"/>
      <c r="E102" s="318"/>
      <c r="F102" s="318"/>
      <c r="G102" s="318"/>
      <c r="H102" s="318"/>
      <c r="I102" s="318"/>
      <c r="J102" s="318"/>
      <c r="K102" s="318"/>
      <c r="L102" s="318"/>
      <c r="M102" s="318"/>
      <c r="N102" s="318"/>
      <c r="O102" s="318"/>
      <c r="P102" s="318"/>
      <c r="Q102" s="318"/>
      <c r="R102" s="318"/>
      <c r="S102" s="318"/>
      <c r="T102" s="319"/>
      <c r="X102" s="176"/>
    </row>
    <row r="103" spans="1:24" s="175" customFormat="1" ht="55.5" customHeight="1" x14ac:dyDescent="0.25">
      <c r="A103" s="317" t="s">
        <v>323</v>
      </c>
      <c r="B103" s="318"/>
      <c r="C103" s="318"/>
      <c r="D103" s="318"/>
      <c r="E103" s="318"/>
      <c r="F103" s="318"/>
      <c r="G103" s="318"/>
      <c r="H103" s="318"/>
      <c r="I103" s="318"/>
      <c r="J103" s="318"/>
      <c r="K103" s="318"/>
      <c r="L103" s="318"/>
      <c r="M103" s="318"/>
      <c r="N103" s="318"/>
      <c r="O103" s="318"/>
      <c r="P103" s="318"/>
      <c r="Q103" s="318"/>
      <c r="R103" s="318"/>
      <c r="S103" s="318"/>
      <c r="T103" s="319"/>
      <c r="X103" s="176"/>
    </row>
    <row r="104" spans="1:24" s="175" customFormat="1" ht="35.25" customHeight="1" x14ac:dyDescent="0.25">
      <c r="A104" s="317" t="s">
        <v>324</v>
      </c>
      <c r="B104" s="318"/>
      <c r="C104" s="318"/>
      <c r="D104" s="318"/>
      <c r="E104" s="318"/>
      <c r="F104" s="318"/>
      <c r="G104" s="318"/>
      <c r="H104" s="318"/>
      <c r="I104" s="318"/>
      <c r="J104" s="318"/>
      <c r="K104" s="318"/>
      <c r="L104" s="318"/>
      <c r="M104" s="318"/>
      <c r="N104" s="318"/>
      <c r="O104" s="318"/>
      <c r="P104" s="318"/>
      <c r="Q104" s="318"/>
      <c r="R104" s="318"/>
      <c r="S104" s="318"/>
      <c r="T104" s="319"/>
      <c r="X104" s="176"/>
    </row>
    <row r="105" spans="1:24" ht="15.75" customHeight="1" thickBot="1" x14ac:dyDescent="0.3">
      <c r="A105" s="314"/>
      <c r="B105" s="315"/>
      <c r="C105" s="315"/>
      <c r="D105" s="315"/>
      <c r="E105" s="315"/>
      <c r="F105" s="315"/>
      <c r="G105" s="315"/>
      <c r="H105" s="315"/>
      <c r="I105" s="315"/>
      <c r="J105" s="315"/>
      <c r="K105" s="315"/>
      <c r="L105" s="315"/>
      <c r="M105" s="315"/>
      <c r="N105" s="315"/>
      <c r="O105" s="315"/>
      <c r="P105" s="315"/>
      <c r="Q105" s="315"/>
      <c r="R105" s="315"/>
      <c r="S105" s="315"/>
      <c r="T105" s="316"/>
    </row>
  </sheetData>
  <mergeCells count="34">
    <mergeCell ref="A8:T8"/>
    <mergeCell ref="A10:J10"/>
    <mergeCell ref="M10:T10"/>
    <mergeCell ref="A86:T86"/>
    <mergeCell ref="A87:T87"/>
    <mergeCell ref="A80:T80"/>
    <mergeCell ref="A81:T81"/>
    <mergeCell ref="A84:T84"/>
    <mergeCell ref="A3:T3"/>
    <mergeCell ref="A4:T4"/>
    <mergeCell ref="A5:T5"/>
    <mergeCell ref="A6:T6"/>
    <mergeCell ref="A7:T7"/>
    <mergeCell ref="A105:T105"/>
    <mergeCell ref="A89:T89"/>
    <mergeCell ref="A90:T90"/>
    <mergeCell ref="A91:T91"/>
    <mergeCell ref="A92:T92"/>
    <mergeCell ref="A93:T93"/>
    <mergeCell ref="A95:T95"/>
    <mergeCell ref="A94:T94"/>
    <mergeCell ref="A96:T96"/>
    <mergeCell ref="A97:T97"/>
    <mergeCell ref="A99:T99"/>
    <mergeCell ref="A100:T100"/>
    <mergeCell ref="A104:T104"/>
    <mergeCell ref="A102:T102"/>
    <mergeCell ref="A103:T103"/>
    <mergeCell ref="A101:T101"/>
    <mergeCell ref="A98:T98"/>
    <mergeCell ref="A85:T85"/>
    <mergeCell ref="A82:T82"/>
    <mergeCell ref="A83:T83"/>
    <mergeCell ref="A88:T88"/>
  </mergeCells>
  <pageMargins left="0.70866141732283472" right="0.70866141732283472" top="0.74803149606299213" bottom="0.74803149606299213" header="0.31496062992125984" footer="0.31496062992125984"/>
  <pageSetup paperSize="8" scale="85" orientation="portrait" cellComments="asDisplayed" r:id="rId1"/>
  <rowBreaks count="1" manualBreakCount="1">
    <brk id="78" max="19" man="1"/>
  </rowBreaks>
  <colBreaks count="1" manualBreakCount="1">
    <brk id="2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G72"/>
  <sheetViews>
    <sheetView view="pageBreakPreview" topLeftCell="A58" zoomScaleNormal="100" zoomScaleSheetLayoutView="100" workbookViewId="0">
      <selection activeCell="A59" sqref="A59:S59"/>
    </sheetView>
  </sheetViews>
  <sheetFormatPr defaultRowHeight="15" outlineLevelRow="1" x14ac:dyDescent="0.25"/>
  <cols>
    <col min="1" max="1" width="3.140625" customWidth="1"/>
    <col min="2" max="2" width="7.28515625" customWidth="1"/>
    <col min="3" max="3" width="8.7109375" customWidth="1"/>
    <col min="4" max="4" width="8.85546875" customWidth="1"/>
    <col min="5" max="5" width="8.140625" customWidth="1"/>
    <col min="6" max="6" width="7.42578125" customWidth="1"/>
    <col min="7" max="7" width="8.140625" customWidth="1"/>
    <col min="8" max="8" width="8.28515625" customWidth="1"/>
    <col min="9" max="9" width="6.42578125" customWidth="1"/>
    <col min="10" max="10" width="6" customWidth="1"/>
    <col min="11" max="11" width="1.42578125" style="29" customWidth="1"/>
    <col min="12" max="12" width="3.140625" style="1" customWidth="1"/>
    <col min="13" max="13" width="10.42578125" style="1" customWidth="1"/>
    <col min="14" max="14" width="3.5703125" customWidth="1"/>
    <col min="15" max="15" width="9" style="160" customWidth="1"/>
    <col min="16" max="16" width="6" style="160" customWidth="1"/>
    <col min="17" max="17" width="3" customWidth="1"/>
    <col min="18" max="18" width="29.5703125" customWidth="1"/>
    <col min="19" max="19" width="9.140625" style="72" customWidth="1"/>
    <col min="21" max="22" width="0" hidden="1" customWidth="1"/>
    <col min="23" max="23" width="0" style="72" hidden="1" customWidth="1"/>
    <col min="24" max="24" width="0" hidden="1" customWidth="1"/>
    <col min="25" max="25" width="10.7109375" bestFit="1" customWidth="1"/>
    <col min="27" max="27" width="11" customWidth="1"/>
    <col min="29" max="29" width="10.85546875" customWidth="1"/>
  </cols>
  <sheetData>
    <row r="1" spans="1:29" x14ac:dyDescent="0.25">
      <c r="A1" s="1" t="s">
        <v>129</v>
      </c>
      <c r="C1" s="1"/>
      <c r="F1" s="22">
        <v>2.5000000000000001E-3</v>
      </c>
      <c r="G1" s="167"/>
      <c r="H1" s="168" t="s">
        <v>432</v>
      </c>
      <c r="R1" s="1"/>
    </row>
    <row r="2" spans="1:29" ht="9" customHeight="1" thickBot="1" x14ac:dyDescent="0.3"/>
    <row r="3" spans="1:29" s="106" customFormat="1" ht="15.75" outlineLevel="1" x14ac:dyDescent="0.25">
      <c r="A3" s="275" t="s">
        <v>183</v>
      </c>
      <c r="B3" s="276"/>
      <c r="C3" s="276"/>
      <c r="D3" s="276"/>
      <c r="E3" s="276"/>
      <c r="F3" s="276"/>
      <c r="G3" s="276"/>
      <c r="H3" s="276"/>
      <c r="I3" s="276"/>
      <c r="J3" s="276"/>
      <c r="K3" s="276"/>
      <c r="L3" s="276"/>
      <c r="M3" s="276"/>
      <c r="N3" s="276"/>
      <c r="O3" s="276"/>
      <c r="P3" s="276"/>
      <c r="Q3" s="276"/>
      <c r="R3" s="276"/>
      <c r="S3" s="277"/>
      <c r="W3" s="147"/>
    </row>
    <row r="4" spans="1:29" s="106" customFormat="1" ht="32.25" customHeight="1" outlineLevel="1" x14ac:dyDescent="0.25">
      <c r="A4" s="281" t="s">
        <v>282</v>
      </c>
      <c r="B4" s="282"/>
      <c r="C4" s="282"/>
      <c r="D4" s="282"/>
      <c r="E4" s="282"/>
      <c r="F4" s="282"/>
      <c r="G4" s="282"/>
      <c r="H4" s="282"/>
      <c r="I4" s="282"/>
      <c r="J4" s="282"/>
      <c r="K4" s="282"/>
      <c r="L4" s="282"/>
      <c r="M4" s="282"/>
      <c r="N4" s="282"/>
      <c r="O4" s="282"/>
      <c r="P4" s="282"/>
      <c r="Q4" s="282"/>
      <c r="R4" s="282"/>
      <c r="S4" s="283"/>
      <c r="W4" s="147"/>
    </row>
    <row r="5" spans="1:29" s="106" customFormat="1" ht="35.25" customHeight="1" outlineLevel="1" x14ac:dyDescent="0.25">
      <c r="A5" s="281" t="s">
        <v>433</v>
      </c>
      <c r="B5" s="282"/>
      <c r="C5" s="282"/>
      <c r="D5" s="282"/>
      <c r="E5" s="282"/>
      <c r="F5" s="282"/>
      <c r="G5" s="282"/>
      <c r="H5" s="282"/>
      <c r="I5" s="282"/>
      <c r="J5" s="282"/>
      <c r="K5" s="282"/>
      <c r="L5" s="282"/>
      <c r="M5" s="282"/>
      <c r="N5" s="282"/>
      <c r="O5" s="282"/>
      <c r="P5" s="282"/>
      <c r="Q5" s="282"/>
      <c r="R5" s="282"/>
      <c r="S5" s="283"/>
      <c r="W5" s="147"/>
    </row>
    <row r="6" spans="1:29" s="106" customFormat="1" ht="8.25" customHeight="1" outlineLevel="1" thickBot="1" x14ac:dyDescent="0.3">
      <c r="A6" s="305"/>
      <c r="B6" s="306"/>
      <c r="C6" s="306"/>
      <c r="D6" s="306"/>
      <c r="E6" s="306"/>
      <c r="F6" s="306"/>
      <c r="G6" s="306"/>
      <c r="H6" s="306"/>
      <c r="I6" s="306"/>
      <c r="J6" s="306"/>
      <c r="K6" s="306"/>
      <c r="L6" s="306"/>
      <c r="M6" s="306"/>
      <c r="N6" s="306"/>
      <c r="O6" s="306"/>
      <c r="P6" s="306"/>
      <c r="Q6" s="306"/>
      <c r="R6" s="306"/>
      <c r="S6" s="307"/>
      <c r="W6" s="147"/>
    </row>
    <row r="7" spans="1:29" ht="9" customHeight="1" thickBot="1" x14ac:dyDescent="0.3"/>
    <row r="8" spans="1:29" ht="15.75" thickBot="1" x14ac:dyDescent="0.3">
      <c r="A8" s="284" t="s">
        <v>184</v>
      </c>
      <c r="B8" s="285"/>
      <c r="C8" s="285"/>
      <c r="D8" s="285"/>
      <c r="E8" s="285"/>
      <c r="F8" s="285"/>
      <c r="G8" s="285"/>
      <c r="H8" s="285"/>
      <c r="I8" s="285"/>
      <c r="J8" s="171"/>
      <c r="L8" s="302" t="s">
        <v>337</v>
      </c>
      <c r="M8" s="303"/>
      <c r="N8" s="303"/>
      <c r="O8" s="303"/>
      <c r="P8" s="303"/>
      <c r="Q8" s="303"/>
      <c r="R8" s="303"/>
      <c r="S8" s="304"/>
    </row>
    <row r="9" spans="1:29" s="1" customFormat="1" ht="95.25" customHeight="1" thickBot="1" x14ac:dyDescent="0.3">
      <c r="A9" s="150" t="s">
        <v>99</v>
      </c>
      <c r="B9" s="151" t="s">
        <v>98</v>
      </c>
      <c r="C9" s="152" t="s">
        <v>92</v>
      </c>
      <c r="D9" s="152" t="s">
        <v>93</v>
      </c>
      <c r="E9" s="152" t="s">
        <v>97</v>
      </c>
      <c r="F9" s="152" t="s">
        <v>96</v>
      </c>
      <c r="G9" s="152" t="s">
        <v>95</v>
      </c>
      <c r="H9" s="152" t="s">
        <v>104</v>
      </c>
      <c r="I9" s="152" t="s">
        <v>286</v>
      </c>
      <c r="J9" s="153"/>
      <c r="K9" s="71"/>
      <c r="L9" s="78"/>
      <c r="M9" s="79" t="s">
        <v>172</v>
      </c>
      <c r="N9" s="79"/>
      <c r="O9" s="161" t="s">
        <v>168</v>
      </c>
      <c r="P9" s="161" t="s">
        <v>169</v>
      </c>
      <c r="Q9" s="79" t="s">
        <v>152</v>
      </c>
      <c r="R9" s="79" t="s">
        <v>170</v>
      </c>
      <c r="S9" s="80" t="s">
        <v>171</v>
      </c>
      <c r="W9" s="148"/>
    </row>
    <row r="10" spans="1:29" s="1" customFormat="1" ht="9" customHeight="1" x14ac:dyDescent="0.25">
      <c r="A10" s="84"/>
      <c r="B10" s="71"/>
      <c r="C10" s="74"/>
      <c r="D10" s="74"/>
      <c r="E10" s="74"/>
      <c r="F10" s="74"/>
      <c r="G10" s="74"/>
      <c r="H10" s="74"/>
      <c r="I10" s="74"/>
      <c r="J10" s="144"/>
      <c r="K10" s="71"/>
      <c r="L10" s="60"/>
      <c r="M10" s="145"/>
      <c r="N10" s="145"/>
      <c r="O10" s="162"/>
      <c r="P10" s="162"/>
      <c r="Q10" s="145"/>
      <c r="R10" s="145"/>
      <c r="S10" s="146"/>
      <c r="W10" s="148"/>
    </row>
    <row r="11" spans="1:29" s="1" customFormat="1" x14ac:dyDescent="0.25">
      <c r="A11" s="84"/>
      <c r="B11" s="154"/>
      <c r="C11" s="30"/>
      <c r="D11" s="30"/>
      <c r="E11" s="30"/>
      <c r="F11" s="30">
        <f>+D49-I11+J11</f>
        <v>138195.11093144081</v>
      </c>
      <c r="G11" s="30"/>
      <c r="H11" s="30">
        <f>+D49</f>
        <v>138195.11093144081</v>
      </c>
      <c r="I11" s="30"/>
      <c r="J11" s="34"/>
      <c r="K11" s="71"/>
      <c r="L11" s="115" t="s">
        <v>109</v>
      </c>
      <c r="M11" s="135">
        <v>43647</v>
      </c>
      <c r="N11" s="109" t="s">
        <v>0</v>
      </c>
      <c r="O11" s="163">
        <v>5311002</v>
      </c>
      <c r="P11" s="163">
        <v>7321</v>
      </c>
      <c r="Q11" s="109"/>
      <c r="R11" s="109" t="s">
        <v>146</v>
      </c>
      <c r="S11" s="110">
        <f>S12</f>
        <v>138195.11093144081</v>
      </c>
      <c r="U11" s="1">
        <v>36</v>
      </c>
      <c r="W11" s="148">
        <f t="shared" ref="W11:W23" si="0">+(C$49/36)*V11</f>
        <v>0</v>
      </c>
      <c r="Y11" s="268"/>
      <c r="AA11" s="268"/>
      <c r="AC11" s="268"/>
    </row>
    <row r="12" spans="1:29" x14ac:dyDescent="0.25">
      <c r="A12" s="28">
        <v>0</v>
      </c>
      <c r="B12" s="33">
        <v>43647</v>
      </c>
      <c r="C12" s="31">
        <f t="shared" ref="C12:C17" si="1">(50000)/12</f>
        <v>4166.666666666667</v>
      </c>
      <c r="D12" s="31">
        <f>+C12/(1+F$1)^A12</f>
        <v>4166.666666666667</v>
      </c>
      <c r="E12" s="31">
        <f>+F$11/36</f>
        <v>3838.7530814289112</v>
      </c>
      <c r="F12" s="31">
        <f>+F11-E12</f>
        <v>134356.3578500119</v>
      </c>
      <c r="G12" s="31">
        <f>+(H11-C12)*F$1</f>
        <v>335.07111066193539</v>
      </c>
      <c r="H12" s="31">
        <f>+H11-C12+G12</f>
        <v>134363.51537543608</v>
      </c>
      <c r="I12" s="31"/>
      <c r="J12" s="32"/>
      <c r="L12" s="60"/>
      <c r="M12" s="61"/>
      <c r="N12" s="40" t="s">
        <v>1</v>
      </c>
      <c r="O12" s="164">
        <v>3240102</v>
      </c>
      <c r="P12" s="164"/>
      <c r="Q12" s="40"/>
      <c r="R12" s="40" t="s">
        <v>270</v>
      </c>
      <c r="S12" s="70">
        <f>+H11</f>
        <v>138195.11093144081</v>
      </c>
      <c r="U12">
        <v>35</v>
      </c>
      <c r="V12">
        <v>1</v>
      </c>
      <c r="W12" s="72">
        <f t="shared" si="0"/>
        <v>4015.1388888888896</v>
      </c>
      <c r="X12" s="72">
        <f>+C12</f>
        <v>4166.666666666667</v>
      </c>
      <c r="Y12" s="72"/>
      <c r="AA12" s="72"/>
      <c r="AC12" s="72"/>
    </row>
    <row r="13" spans="1:29" x14ac:dyDescent="0.25">
      <c r="A13" s="28">
        <v>1</v>
      </c>
      <c r="B13" s="33">
        <v>43678</v>
      </c>
      <c r="C13" s="31">
        <f t="shared" si="1"/>
        <v>4166.666666666667</v>
      </c>
      <c r="D13" s="31">
        <f t="shared" ref="D13:D22" si="2">+C13/(1+F$1)^A13</f>
        <v>4156.2759767248554</v>
      </c>
      <c r="E13" s="31">
        <f t="shared" ref="E13:E48" si="3">+F$11/36</f>
        <v>3838.7530814289112</v>
      </c>
      <c r="F13" s="31">
        <f t="shared" ref="F13:F23" si="4">+F12-E13</f>
        <v>130517.604768583</v>
      </c>
      <c r="G13" s="31">
        <f t="shared" ref="G13:G23" si="5">+(H12-C13)*F$1</f>
        <v>325.49212177192351</v>
      </c>
      <c r="H13" s="31">
        <f t="shared" ref="H13:H23" si="6">+H12-C13+G13</f>
        <v>130522.34083054133</v>
      </c>
      <c r="I13" s="31"/>
      <c r="J13" s="32"/>
      <c r="L13" s="133" t="s">
        <v>192</v>
      </c>
      <c r="M13" s="61"/>
      <c r="N13" s="40"/>
      <c r="O13" s="164"/>
      <c r="P13" s="164"/>
      <c r="Q13" s="40"/>
      <c r="R13" s="40"/>
      <c r="S13" s="70"/>
      <c r="U13">
        <v>34</v>
      </c>
      <c r="V13">
        <v>2</v>
      </c>
      <c r="W13" s="72">
        <f t="shared" si="0"/>
        <v>8030.2777777777792</v>
      </c>
      <c r="X13" s="72">
        <f t="shared" ref="X13:X23" si="7">+C13+X12</f>
        <v>8333.3333333333339</v>
      </c>
    </row>
    <row r="14" spans="1:29" x14ac:dyDescent="0.25">
      <c r="A14" s="28">
        <v>2</v>
      </c>
      <c r="B14" s="33">
        <v>43709</v>
      </c>
      <c r="C14" s="31">
        <f t="shared" si="1"/>
        <v>4166.666666666667</v>
      </c>
      <c r="D14" s="31">
        <f t="shared" si="2"/>
        <v>4145.9111987280348</v>
      </c>
      <c r="E14" s="31">
        <f t="shared" si="3"/>
        <v>3838.7530814289112</v>
      </c>
      <c r="F14" s="31">
        <f t="shared" si="4"/>
        <v>126678.85168715409</v>
      </c>
      <c r="G14" s="31">
        <f t="shared" si="5"/>
        <v>315.88918540968666</v>
      </c>
      <c r="H14" s="31">
        <f t="shared" si="6"/>
        <v>126671.56334928435</v>
      </c>
      <c r="I14" s="31"/>
      <c r="J14" s="32"/>
      <c r="L14" s="60"/>
      <c r="M14" s="246"/>
      <c r="N14" s="246"/>
      <c r="O14" s="162"/>
      <c r="P14" s="162"/>
      <c r="Q14" s="246"/>
      <c r="R14" s="246"/>
      <c r="S14" s="247"/>
      <c r="U14">
        <v>33</v>
      </c>
      <c r="V14">
        <v>3</v>
      </c>
      <c r="W14" s="72">
        <f t="shared" si="0"/>
        <v>12045.416666666668</v>
      </c>
      <c r="X14" s="72">
        <f t="shared" si="7"/>
        <v>12500</v>
      </c>
    </row>
    <row r="15" spans="1:29" ht="17.25" customHeight="1" x14ac:dyDescent="0.25">
      <c r="A15" s="28">
        <v>3</v>
      </c>
      <c r="B15" s="33">
        <v>43739</v>
      </c>
      <c r="C15" s="31">
        <f t="shared" si="1"/>
        <v>4166.666666666667</v>
      </c>
      <c r="D15" s="31">
        <f t="shared" si="2"/>
        <v>4135.5722680578911</v>
      </c>
      <c r="E15" s="31">
        <f t="shared" si="3"/>
        <v>3838.7530814289112</v>
      </c>
      <c r="F15" s="31">
        <f t="shared" si="4"/>
        <v>122840.09860572519</v>
      </c>
      <c r="G15" s="31">
        <f t="shared" si="5"/>
        <v>306.26224170654422</v>
      </c>
      <c r="H15" s="31">
        <f t="shared" si="6"/>
        <v>122811.15892432422</v>
      </c>
      <c r="I15" s="31"/>
      <c r="J15" s="32"/>
      <c r="L15" s="115" t="s">
        <v>110</v>
      </c>
      <c r="M15" s="116" t="s">
        <v>32</v>
      </c>
      <c r="N15" s="40" t="s">
        <v>0</v>
      </c>
      <c r="O15" s="164">
        <v>2241002</v>
      </c>
      <c r="P15" s="164"/>
      <c r="Q15" s="40"/>
      <c r="R15" s="40" t="s">
        <v>251</v>
      </c>
      <c r="S15" s="70">
        <f>SUM(E15:E27)</f>
        <v>46065.036977146949</v>
      </c>
      <c r="U15">
        <v>32</v>
      </c>
      <c r="V15">
        <v>4</v>
      </c>
      <c r="W15" s="72">
        <f t="shared" si="0"/>
        <v>16060.555555555558</v>
      </c>
      <c r="X15" s="72">
        <f t="shared" si="7"/>
        <v>16666.666666666668</v>
      </c>
    </row>
    <row r="16" spans="1:29" x14ac:dyDescent="0.25">
      <c r="A16" s="28">
        <v>4</v>
      </c>
      <c r="B16" s="33">
        <v>43770</v>
      </c>
      <c r="C16" s="31">
        <f t="shared" si="1"/>
        <v>4166.666666666667</v>
      </c>
      <c r="D16" s="31">
        <f t="shared" si="2"/>
        <v>4125.2591202572476</v>
      </c>
      <c r="E16" s="31">
        <f t="shared" si="3"/>
        <v>3838.7530814289112</v>
      </c>
      <c r="F16" s="31">
        <f t="shared" si="4"/>
        <v>119001.34552429628</v>
      </c>
      <c r="G16" s="31">
        <f t="shared" si="5"/>
        <v>296.61123064414386</v>
      </c>
      <c r="H16" s="31">
        <f t="shared" si="6"/>
        <v>118941.1034883017</v>
      </c>
      <c r="I16" s="31"/>
      <c r="J16" s="32"/>
      <c r="L16" s="60"/>
      <c r="M16" s="61"/>
      <c r="N16" s="40" t="s">
        <v>1</v>
      </c>
      <c r="O16" s="164">
        <v>5311002</v>
      </c>
      <c r="P16" s="164">
        <v>7353</v>
      </c>
      <c r="Q16" s="40"/>
      <c r="R16" s="40" t="s">
        <v>105</v>
      </c>
      <c r="S16" s="70">
        <f>S15</f>
        <v>46065.036977146949</v>
      </c>
      <c r="U16">
        <v>31</v>
      </c>
      <c r="V16">
        <v>5</v>
      </c>
      <c r="W16" s="72">
        <f t="shared" si="0"/>
        <v>20075.694444444449</v>
      </c>
      <c r="X16" s="72">
        <f t="shared" si="7"/>
        <v>20833.333333333336</v>
      </c>
    </row>
    <row r="17" spans="1:33" x14ac:dyDescent="0.25">
      <c r="A17" s="28">
        <v>5</v>
      </c>
      <c r="B17" s="33">
        <v>43800</v>
      </c>
      <c r="C17" s="31">
        <f t="shared" si="1"/>
        <v>4166.666666666667</v>
      </c>
      <c r="D17" s="31">
        <f t="shared" si="2"/>
        <v>4114.9716910296738</v>
      </c>
      <c r="E17" s="31">
        <f t="shared" si="3"/>
        <v>3838.7530814289112</v>
      </c>
      <c r="F17" s="31">
        <f t="shared" si="4"/>
        <v>115162.59244286738</v>
      </c>
      <c r="G17" s="31">
        <f t="shared" si="5"/>
        <v>286.93609205408757</v>
      </c>
      <c r="H17" s="31">
        <f t="shared" si="6"/>
        <v>115061.37291368912</v>
      </c>
      <c r="I17" s="31"/>
      <c r="J17" s="32"/>
      <c r="L17" s="133" t="s">
        <v>187</v>
      </c>
      <c r="M17" s="61"/>
      <c r="N17" s="40"/>
      <c r="O17" s="164"/>
      <c r="P17" s="164"/>
      <c r="Q17" s="40"/>
      <c r="R17" s="40"/>
      <c r="S17" s="70"/>
      <c r="U17">
        <v>30</v>
      </c>
      <c r="V17">
        <v>6</v>
      </c>
      <c r="W17" s="72">
        <f t="shared" si="0"/>
        <v>24090.833333333336</v>
      </c>
      <c r="X17" s="72">
        <f t="shared" si="7"/>
        <v>25000.000000000004</v>
      </c>
    </row>
    <row r="18" spans="1:33" x14ac:dyDescent="0.25">
      <c r="A18" s="28">
        <v>6</v>
      </c>
      <c r="B18" s="33">
        <v>43831</v>
      </c>
      <c r="C18" s="31">
        <f t="shared" ref="C18:C23" si="8">(50000)/12</f>
        <v>4166.666666666667</v>
      </c>
      <c r="D18" s="31">
        <f>+C18/(1+F$1)^A18</f>
        <v>4104.7099162390768</v>
      </c>
      <c r="E18" s="31">
        <f t="shared" si="3"/>
        <v>3838.7530814289112</v>
      </c>
      <c r="F18" s="31">
        <f t="shared" si="4"/>
        <v>111323.83936143847</v>
      </c>
      <c r="G18" s="31">
        <f t="shared" si="5"/>
        <v>277.2367656175561</v>
      </c>
      <c r="H18" s="31">
        <f t="shared" si="6"/>
        <v>111171.94301264001</v>
      </c>
      <c r="I18" s="31"/>
      <c r="J18" s="32"/>
      <c r="L18" s="60"/>
      <c r="M18" s="61"/>
      <c r="N18" s="40"/>
      <c r="O18" s="164"/>
      <c r="P18" s="164"/>
      <c r="Q18" s="40"/>
      <c r="R18" s="40"/>
      <c r="S18" s="70"/>
      <c r="U18">
        <v>29</v>
      </c>
      <c r="V18">
        <v>7</v>
      </c>
      <c r="W18" s="72">
        <f t="shared" si="0"/>
        <v>28105.972222222226</v>
      </c>
      <c r="X18" s="72">
        <f t="shared" si="7"/>
        <v>29166.666666666672</v>
      </c>
    </row>
    <row r="19" spans="1:33" x14ac:dyDescent="0.25">
      <c r="A19" s="28">
        <v>7</v>
      </c>
      <c r="B19" s="33">
        <v>43862</v>
      </c>
      <c r="C19" s="31">
        <f t="shared" si="8"/>
        <v>4166.666666666667</v>
      </c>
      <c r="D19" s="31">
        <f t="shared" si="2"/>
        <v>4094.4737319093038</v>
      </c>
      <c r="E19" s="31">
        <f t="shared" si="3"/>
        <v>3838.7530814289112</v>
      </c>
      <c r="F19" s="31">
        <f t="shared" si="4"/>
        <v>107485.08628000956</v>
      </c>
      <c r="G19" s="31">
        <f t="shared" si="5"/>
        <v>267.51319086493334</v>
      </c>
      <c r="H19" s="31">
        <f t="shared" si="6"/>
        <v>107272.78953683827</v>
      </c>
      <c r="I19" s="31"/>
      <c r="J19" s="32"/>
      <c r="L19" s="115" t="s">
        <v>111</v>
      </c>
      <c r="M19" s="116" t="s">
        <v>32</v>
      </c>
      <c r="N19" s="40" t="s">
        <v>0</v>
      </c>
      <c r="O19" s="164">
        <v>3240106</v>
      </c>
      <c r="P19" s="164"/>
      <c r="Q19" s="40"/>
      <c r="R19" s="40" t="s">
        <v>271</v>
      </c>
      <c r="S19" s="70">
        <f>S21-S20</f>
        <v>46616.658136570404</v>
      </c>
      <c r="U19">
        <v>28</v>
      </c>
      <c r="V19">
        <v>8</v>
      </c>
      <c r="W19" s="72">
        <f t="shared" si="0"/>
        <v>32121.111111111117</v>
      </c>
      <c r="X19" s="72">
        <f t="shared" si="7"/>
        <v>33333.333333333336</v>
      </c>
    </row>
    <row r="20" spans="1:33" ht="14.25" customHeight="1" x14ac:dyDescent="0.25">
      <c r="A20" s="28">
        <v>8</v>
      </c>
      <c r="B20" s="33">
        <v>43891</v>
      </c>
      <c r="C20" s="31">
        <f t="shared" si="8"/>
        <v>4166.666666666667</v>
      </c>
      <c r="D20" s="31">
        <f t="shared" si="2"/>
        <v>4084.2630742237438</v>
      </c>
      <c r="E20" s="31">
        <f t="shared" si="3"/>
        <v>3838.7530814289112</v>
      </c>
      <c r="F20" s="31">
        <f t="shared" si="4"/>
        <v>103646.33319858066</v>
      </c>
      <c r="G20" s="31">
        <f t="shared" si="5"/>
        <v>257.76530717542903</v>
      </c>
      <c r="H20" s="31">
        <f t="shared" si="6"/>
        <v>103363.88817734703</v>
      </c>
      <c r="I20" s="31"/>
      <c r="J20" s="32"/>
      <c r="L20" s="60"/>
      <c r="M20" s="61"/>
      <c r="N20" s="40" t="s">
        <v>0</v>
      </c>
      <c r="O20" s="164">
        <v>2422020</v>
      </c>
      <c r="P20" s="164"/>
      <c r="Q20" s="40"/>
      <c r="R20" s="40" t="s">
        <v>161</v>
      </c>
      <c r="S20" s="70">
        <f>SUM(G12:G23)</f>
        <v>3383.3418634295872</v>
      </c>
      <c r="U20">
        <v>27</v>
      </c>
      <c r="V20">
        <v>9</v>
      </c>
      <c r="W20" s="72">
        <f t="shared" si="0"/>
        <v>36136.250000000007</v>
      </c>
      <c r="X20" s="72">
        <f t="shared" si="7"/>
        <v>37500</v>
      </c>
    </row>
    <row r="21" spans="1:33" x14ac:dyDescent="0.25">
      <c r="A21" s="28">
        <v>9</v>
      </c>
      <c r="B21" s="33">
        <v>43922</v>
      </c>
      <c r="C21" s="31">
        <f t="shared" si="8"/>
        <v>4166.666666666667</v>
      </c>
      <c r="D21" s="31">
        <f t="shared" si="2"/>
        <v>4074.0778795249316</v>
      </c>
      <c r="E21" s="31">
        <f t="shared" si="3"/>
        <v>3838.7530814289112</v>
      </c>
      <c r="F21" s="31">
        <f t="shared" si="4"/>
        <v>99807.580117151752</v>
      </c>
      <c r="G21" s="31">
        <f t="shared" si="5"/>
        <v>247.99305377670092</v>
      </c>
      <c r="H21" s="31">
        <f t="shared" si="6"/>
        <v>99445.21456445707</v>
      </c>
      <c r="I21" s="31"/>
      <c r="J21" s="32"/>
      <c r="L21" s="60"/>
      <c r="M21" s="61"/>
      <c r="N21" s="40" t="s">
        <v>1</v>
      </c>
      <c r="O21" s="164"/>
      <c r="P21" s="164"/>
      <c r="Q21" s="40"/>
      <c r="R21" s="40" t="s">
        <v>31</v>
      </c>
      <c r="S21" s="70">
        <f>SUM(C12:C23)</f>
        <v>49999.999999999993</v>
      </c>
      <c r="U21">
        <v>26</v>
      </c>
      <c r="V21">
        <v>10</v>
      </c>
      <c r="W21" s="72">
        <f t="shared" si="0"/>
        <v>40151.388888888898</v>
      </c>
      <c r="X21" s="72">
        <f t="shared" si="7"/>
        <v>41666.666666666664</v>
      </c>
    </row>
    <row r="22" spans="1:33" x14ac:dyDescent="0.25">
      <c r="A22" s="28">
        <v>10</v>
      </c>
      <c r="B22" s="33">
        <v>43952</v>
      </c>
      <c r="C22" s="31">
        <f t="shared" si="8"/>
        <v>4166.666666666667</v>
      </c>
      <c r="D22" s="31">
        <f t="shared" si="2"/>
        <v>4063.9180843141467</v>
      </c>
      <c r="E22" s="31">
        <f t="shared" si="3"/>
        <v>3838.7530814289112</v>
      </c>
      <c r="F22" s="31">
        <f t="shared" si="4"/>
        <v>95968.827035722847</v>
      </c>
      <c r="G22" s="31">
        <f t="shared" si="5"/>
        <v>238.19636974447599</v>
      </c>
      <c r="H22" s="31">
        <f t="shared" si="6"/>
        <v>95516.744267534872</v>
      </c>
      <c r="I22" s="31"/>
      <c r="J22" s="32"/>
      <c r="L22" s="133" t="s">
        <v>117</v>
      </c>
      <c r="M22" s="61"/>
      <c r="N22" s="40"/>
      <c r="O22" s="164"/>
      <c r="P22" s="164"/>
      <c r="Q22" s="40"/>
      <c r="R22" s="40"/>
      <c r="S22" s="70"/>
      <c r="U22">
        <v>25</v>
      </c>
      <c r="V22">
        <v>11</v>
      </c>
      <c r="W22" s="72">
        <f t="shared" si="0"/>
        <v>44166.527777777788</v>
      </c>
      <c r="X22" s="72">
        <f t="shared" si="7"/>
        <v>45833.333333333328</v>
      </c>
      <c r="Z22" s="116"/>
      <c r="AA22" s="156"/>
      <c r="AB22" s="156"/>
      <c r="AC22" s="142"/>
      <c r="AD22" s="142"/>
      <c r="AE22" s="156"/>
      <c r="AF22" s="156"/>
      <c r="AG22" s="156"/>
    </row>
    <row r="23" spans="1:33" s="209" customFormat="1" ht="15" customHeight="1" x14ac:dyDescent="0.25">
      <c r="A23" s="254">
        <v>11</v>
      </c>
      <c r="B23" s="255">
        <v>43983</v>
      </c>
      <c r="C23" s="256">
        <f t="shared" si="8"/>
        <v>4166.666666666667</v>
      </c>
      <c r="D23" s="256">
        <f t="shared" ref="D23:D47" si="9">+C23/(1+F$1)^A23</f>
        <v>4053.7836252510201</v>
      </c>
      <c r="E23" s="256">
        <f t="shared" si="3"/>
        <v>3838.7530814289112</v>
      </c>
      <c r="F23" s="256">
        <f t="shared" si="4"/>
        <v>92130.073954293941</v>
      </c>
      <c r="G23" s="256">
        <f t="shared" si="5"/>
        <v>228.3751940021705</v>
      </c>
      <c r="H23" s="256">
        <f t="shared" si="6"/>
        <v>91578.452794870376</v>
      </c>
      <c r="I23" s="257"/>
      <c r="J23" s="258"/>
      <c r="K23" s="259"/>
      <c r="L23" s="260"/>
      <c r="M23" s="232"/>
      <c r="N23" s="240"/>
      <c r="O23" s="261"/>
      <c r="P23" s="261"/>
      <c r="Q23" s="240"/>
      <c r="R23" s="240"/>
      <c r="S23" s="241"/>
      <c r="U23" s="209">
        <v>24</v>
      </c>
      <c r="V23" s="209">
        <v>12</v>
      </c>
      <c r="W23" s="262">
        <f t="shared" si="0"/>
        <v>48181.666666666672</v>
      </c>
      <c r="X23" s="262">
        <f t="shared" si="7"/>
        <v>49999.999999999993</v>
      </c>
      <c r="Z23" s="240"/>
      <c r="AA23" s="263"/>
      <c r="AB23" s="264"/>
      <c r="AC23" s="265"/>
      <c r="AD23" s="265"/>
      <c r="AE23" s="264"/>
      <c r="AF23" s="266"/>
      <c r="AG23" s="267"/>
    </row>
    <row r="24" spans="1:33" ht="15" customHeight="1" x14ac:dyDescent="0.25">
      <c r="A24" s="248">
        <v>12</v>
      </c>
      <c r="B24" s="255">
        <v>44013</v>
      </c>
      <c r="C24" s="256">
        <v>-10000</v>
      </c>
      <c r="D24" s="256">
        <f t="shared" si="9"/>
        <v>-9704.818653967528</v>
      </c>
      <c r="E24" s="256"/>
      <c r="F24" s="256"/>
      <c r="G24" s="256"/>
      <c r="H24" s="256">
        <f t="shared" ref="H24" si="10">+H23-C24+G24</f>
        <v>101578.45279487038</v>
      </c>
      <c r="I24" s="219">
        <v>10000</v>
      </c>
      <c r="J24" s="113"/>
      <c r="L24" s="115" t="s">
        <v>112</v>
      </c>
      <c r="M24" s="135">
        <v>44012</v>
      </c>
      <c r="N24" s="156" t="s">
        <v>0</v>
      </c>
      <c r="O24" s="142">
        <v>5311002</v>
      </c>
      <c r="P24" s="231">
        <v>7126</v>
      </c>
      <c r="Q24" s="156"/>
      <c r="R24" s="143" t="s">
        <v>293</v>
      </c>
      <c r="S24" s="158">
        <v>12000</v>
      </c>
      <c r="X24" s="72"/>
      <c r="Z24" s="116"/>
      <c r="AA24" s="156"/>
      <c r="AB24" s="156"/>
      <c r="AC24" s="142"/>
      <c r="AD24" s="142"/>
      <c r="AE24" s="156"/>
      <c r="AF24" s="143"/>
      <c r="AG24" s="252"/>
    </row>
    <row r="25" spans="1:33" ht="15" customHeight="1" x14ac:dyDescent="0.25">
      <c r="A25" s="28">
        <v>12</v>
      </c>
      <c r="B25" s="33">
        <v>44013</v>
      </c>
      <c r="C25" s="31">
        <f>+((50000*1.03)/12)</f>
        <v>4291.666666666667</v>
      </c>
      <c r="D25" s="31">
        <f>+C25/(1+F$1)^A25</f>
        <v>4164.9846723277306</v>
      </c>
      <c r="E25" s="31">
        <f t="shared" si="3"/>
        <v>3838.7530814289112</v>
      </c>
      <c r="F25" s="31">
        <f>+F23-E25</f>
        <v>88291.320872865035</v>
      </c>
      <c r="G25" s="31">
        <f t="shared" ref="G25:G48" si="11">+(H24-C25)*F$1</f>
        <v>243.21696532050927</v>
      </c>
      <c r="H25" s="31">
        <f t="shared" ref="H25:H48" si="12">+H24-C25+G25</f>
        <v>97530.00309352421</v>
      </c>
      <c r="J25" s="32"/>
      <c r="L25" s="115"/>
      <c r="M25" s="156"/>
      <c r="N25" s="156" t="s">
        <v>1</v>
      </c>
      <c r="O25" s="142"/>
      <c r="P25" s="142"/>
      <c r="Q25" s="156"/>
      <c r="R25" s="143" t="s">
        <v>31</v>
      </c>
      <c r="S25" s="158">
        <f>+S24</f>
        <v>12000</v>
      </c>
      <c r="X25" s="72"/>
      <c r="Z25" s="116"/>
      <c r="AA25" s="156"/>
      <c r="AB25" s="156"/>
      <c r="AC25" s="142"/>
      <c r="AD25" s="142"/>
      <c r="AE25" s="156"/>
      <c r="AF25" s="156"/>
      <c r="AG25" s="156"/>
    </row>
    <row r="26" spans="1:33" ht="15" customHeight="1" x14ac:dyDescent="0.25">
      <c r="A26" s="28">
        <v>13</v>
      </c>
      <c r="B26" s="33">
        <v>44044</v>
      </c>
      <c r="C26" s="31">
        <f t="shared" ref="C26:C36" si="13">((50000*1.03)/12)</f>
        <v>4291.666666666667</v>
      </c>
      <c r="D26" s="31">
        <f t="shared" si="9"/>
        <v>4154.5981768855163</v>
      </c>
      <c r="E26" s="31">
        <f t="shared" si="3"/>
        <v>3838.7530814289112</v>
      </c>
      <c r="F26" s="31">
        <f t="shared" ref="F26:F37" si="14">+F25-E26</f>
        <v>84452.567791436129</v>
      </c>
      <c r="G26" s="31">
        <f t="shared" si="11"/>
        <v>233.09584106714385</v>
      </c>
      <c r="H26" s="31">
        <f t="shared" si="12"/>
        <v>93471.432267924683</v>
      </c>
      <c r="I26" s="30"/>
      <c r="J26" s="32"/>
      <c r="L26" s="115" t="s">
        <v>283</v>
      </c>
      <c r="M26" s="156"/>
      <c r="N26" s="156"/>
      <c r="O26" s="142"/>
      <c r="P26" s="142"/>
      <c r="Q26" s="156"/>
      <c r="R26" s="143"/>
      <c r="S26" s="158"/>
      <c r="X26" s="72"/>
      <c r="Z26" s="116"/>
      <c r="AA26" s="156"/>
      <c r="AB26" s="156"/>
      <c r="AC26" s="142"/>
      <c r="AD26" s="142"/>
      <c r="AE26" s="156"/>
      <c r="AF26" s="156"/>
      <c r="AG26" s="156"/>
    </row>
    <row r="27" spans="1:33" ht="15" customHeight="1" x14ac:dyDescent="0.25">
      <c r="A27" s="28">
        <v>14</v>
      </c>
      <c r="B27" s="33">
        <v>44075</v>
      </c>
      <c r="C27" s="31">
        <f t="shared" si="13"/>
        <v>4291.666666666667</v>
      </c>
      <c r="D27" s="31">
        <f t="shared" si="9"/>
        <v>4144.2375829281973</v>
      </c>
      <c r="E27" s="31">
        <f t="shared" si="3"/>
        <v>3838.7530814289112</v>
      </c>
      <c r="F27" s="31">
        <f t="shared" si="14"/>
        <v>80613.814710007224</v>
      </c>
      <c r="G27" s="31">
        <f t="shared" si="11"/>
        <v>222.94941400314502</v>
      </c>
      <c r="H27" s="31">
        <f t="shared" si="12"/>
        <v>89402.715015261158</v>
      </c>
      <c r="I27" s="30"/>
      <c r="J27" s="32"/>
      <c r="L27" s="115"/>
      <c r="M27" s="156"/>
      <c r="N27" s="156"/>
      <c r="O27" s="142"/>
      <c r="P27" s="142"/>
      <c r="Q27" s="156"/>
      <c r="R27" s="143"/>
      <c r="S27" s="158"/>
      <c r="X27" s="72"/>
      <c r="Z27" s="29"/>
      <c r="AA27" s="29"/>
      <c r="AB27" s="29"/>
      <c r="AC27" s="29"/>
      <c r="AD27" s="29"/>
      <c r="AE27" s="29"/>
      <c r="AF27" s="29"/>
      <c r="AG27" s="29"/>
    </row>
    <row r="28" spans="1:33" ht="15" customHeight="1" x14ac:dyDescent="0.25">
      <c r="A28" s="28">
        <v>15</v>
      </c>
      <c r="B28" s="33">
        <v>44105</v>
      </c>
      <c r="C28" s="31">
        <f t="shared" si="13"/>
        <v>4291.666666666667</v>
      </c>
      <c r="D28" s="31">
        <f t="shared" si="9"/>
        <v>4133.902825863539</v>
      </c>
      <c r="E28" s="31">
        <f t="shared" si="3"/>
        <v>3838.7530814289112</v>
      </c>
      <c r="F28" s="31">
        <f t="shared" si="14"/>
        <v>76775.061628578318</v>
      </c>
      <c r="G28" s="31">
        <f t="shared" si="11"/>
        <v>212.77762087148622</v>
      </c>
      <c r="H28" s="31">
        <f t="shared" si="12"/>
        <v>85323.825969465979</v>
      </c>
      <c r="I28" s="30"/>
      <c r="J28" s="32"/>
      <c r="L28" s="134" t="s">
        <v>434</v>
      </c>
      <c r="M28" s="135">
        <v>44013</v>
      </c>
      <c r="N28" s="156" t="s">
        <v>0</v>
      </c>
      <c r="O28" s="142"/>
      <c r="P28" s="142"/>
      <c r="Q28" s="156"/>
      <c r="R28" s="143" t="s">
        <v>31</v>
      </c>
      <c r="S28" s="158">
        <v>10000</v>
      </c>
      <c r="X28" s="72"/>
      <c r="Z28" s="116"/>
      <c r="AA28" s="116"/>
      <c r="AB28" s="116"/>
      <c r="AC28" s="165"/>
      <c r="AD28" s="165"/>
      <c r="AE28" s="116"/>
      <c r="AF28" s="116"/>
      <c r="AG28" s="253"/>
    </row>
    <row r="29" spans="1:33" ht="15" customHeight="1" x14ac:dyDescent="0.25">
      <c r="A29" s="28">
        <v>16</v>
      </c>
      <c r="B29" s="33">
        <v>44136</v>
      </c>
      <c r="C29" s="31">
        <f t="shared" si="13"/>
        <v>4291.666666666667</v>
      </c>
      <c r="D29" s="31">
        <f t="shared" si="9"/>
        <v>4123.5938412603873</v>
      </c>
      <c r="E29" s="31">
        <f t="shared" si="3"/>
        <v>3838.7530814289112</v>
      </c>
      <c r="F29" s="31">
        <f t="shared" si="14"/>
        <v>72936.308547149412</v>
      </c>
      <c r="G29" s="31">
        <f t="shared" si="11"/>
        <v>202.58039825699828</v>
      </c>
      <c r="H29" s="31">
        <f t="shared" si="12"/>
        <v>81234.7397010563</v>
      </c>
      <c r="I29" s="30"/>
      <c r="J29" s="32"/>
      <c r="L29" s="115"/>
      <c r="M29" s="156"/>
      <c r="N29" s="156" t="s">
        <v>1</v>
      </c>
      <c r="O29" s="164">
        <v>3240102</v>
      </c>
      <c r="P29" s="164"/>
      <c r="Q29" s="40"/>
      <c r="R29" s="40" t="s">
        <v>270</v>
      </c>
      <c r="S29" s="158">
        <v>10000</v>
      </c>
      <c r="X29" s="72"/>
      <c r="Z29" s="116"/>
      <c r="AA29" s="116"/>
      <c r="AB29" s="116"/>
      <c r="AC29" s="165"/>
      <c r="AD29" s="165"/>
      <c r="AE29" s="116"/>
      <c r="AF29" s="116"/>
      <c r="AG29" s="253"/>
    </row>
    <row r="30" spans="1:33" ht="15" customHeight="1" x14ac:dyDescent="0.25">
      <c r="A30" s="28">
        <v>17</v>
      </c>
      <c r="B30" s="33">
        <v>44166</v>
      </c>
      <c r="C30" s="31">
        <f t="shared" si="13"/>
        <v>4291.666666666667</v>
      </c>
      <c r="D30" s="31">
        <f t="shared" si="9"/>
        <v>4113.3105648482669</v>
      </c>
      <c r="E30" s="31">
        <f t="shared" si="3"/>
        <v>3838.7530814289112</v>
      </c>
      <c r="F30" s="31">
        <f t="shared" si="14"/>
        <v>69097.555465720507</v>
      </c>
      <c r="G30" s="31">
        <f t="shared" si="11"/>
        <v>192.35768258597409</v>
      </c>
      <c r="H30" s="31">
        <f t="shared" si="12"/>
        <v>77135.430716975607</v>
      </c>
      <c r="I30" s="30"/>
      <c r="J30" s="32"/>
      <c r="L30" s="115" t="s">
        <v>284</v>
      </c>
      <c r="M30" s="156"/>
      <c r="N30" s="156"/>
      <c r="O30" s="142"/>
      <c r="P30" s="142"/>
      <c r="Q30" s="156"/>
      <c r="R30" s="156"/>
      <c r="S30" s="157"/>
      <c r="X30" s="72"/>
      <c r="Z30" s="116"/>
      <c r="AA30" s="116"/>
      <c r="AB30" s="116"/>
      <c r="AC30" s="165"/>
      <c r="AD30" s="165"/>
      <c r="AE30" s="116"/>
      <c r="AF30" s="116"/>
      <c r="AG30" s="253"/>
    </row>
    <row r="31" spans="1:33" ht="15" customHeight="1" x14ac:dyDescent="0.25">
      <c r="A31" s="28">
        <v>18</v>
      </c>
      <c r="B31" s="33">
        <v>44197</v>
      </c>
      <c r="C31" s="31">
        <f t="shared" si="13"/>
        <v>4291.666666666667</v>
      </c>
      <c r="D31" s="31">
        <f t="shared" si="9"/>
        <v>4103.0529325169746</v>
      </c>
      <c r="E31" s="31">
        <f t="shared" si="3"/>
        <v>3838.7530814289112</v>
      </c>
      <c r="F31" s="31">
        <f t="shared" si="14"/>
        <v>65258.802384291594</v>
      </c>
      <c r="G31" s="31">
        <f t="shared" si="11"/>
        <v>182.10941012577234</v>
      </c>
      <c r="H31" s="31">
        <f t="shared" si="12"/>
        <v>73025.873460434712</v>
      </c>
      <c r="I31" s="30"/>
      <c r="J31" s="32"/>
      <c r="L31" s="115"/>
      <c r="M31" s="156"/>
      <c r="N31" s="156"/>
      <c r="O31" s="142"/>
      <c r="P31" s="142"/>
      <c r="Q31" s="156"/>
      <c r="R31" s="143"/>
      <c r="S31" s="158"/>
      <c r="X31" s="72"/>
      <c r="Z31" s="61"/>
      <c r="AA31" s="61"/>
      <c r="AB31" s="40"/>
      <c r="AC31" s="164"/>
      <c r="AD31" s="164"/>
      <c r="AE31" s="40"/>
      <c r="AF31" s="40"/>
      <c r="AG31" s="41"/>
    </row>
    <row r="32" spans="1:33" x14ac:dyDescent="0.25">
      <c r="A32" s="28">
        <v>19</v>
      </c>
      <c r="B32" s="33">
        <v>44228</v>
      </c>
      <c r="C32" s="31">
        <f t="shared" si="13"/>
        <v>4291.666666666667</v>
      </c>
      <c r="D32" s="31">
        <f t="shared" si="9"/>
        <v>4092.8208803161847</v>
      </c>
      <c r="E32" s="31">
        <f t="shared" si="3"/>
        <v>3838.7530814289112</v>
      </c>
      <c r="F32" s="31">
        <f t="shared" si="14"/>
        <v>61420.049302862681</v>
      </c>
      <c r="G32" s="31">
        <f t="shared" si="11"/>
        <v>171.83551698442011</v>
      </c>
      <c r="H32" s="31">
        <f t="shared" si="12"/>
        <v>68906.042310752455</v>
      </c>
      <c r="I32" s="30"/>
      <c r="J32" s="32"/>
      <c r="L32" s="115" t="s">
        <v>114</v>
      </c>
      <c r="M32" s="116" t="s">
        <v>106</v>
      </c>
      <c r="N32" s="40" t="s">
        <v>0</v>
      </c>
      <c r="O32" s="164">
        <v>2241002</v>
      </c>
      <c r="P32" s="164"/>
      <c r="Q32" s="40"/>
      <c r="R32" s="40" t="s">
        <v>251</v>
      </c>
      <c r="S32" s="70">
        <f>SUM(E25:E36)</f>
        <v>46065.036977146949</v>
      </c>
      <c r="U32">
        <v>23</v>
      </c>
      <c r="V32">
        <v>13</v>
      </c>
      <c r="W32" s="72">
        <f t="shared" ref="W32:W55" si="15">+(C$49/36)*V32</f>
        <v>52196.805555555562</v>
      </c>
      <c r="X32" s="72">
        <f>+C25+X23</f>
        <v>54291.666666666657</v>
      </c>
      <c r="Z32" s="116"/>
      <c r="AA32" s="116"/>
      <c r="AB32" s="116"/>
      <c r="AC32" s="165"/>
      <c r="AD32" s="165"/>
      <c r="AE32" s="116"/>
      <c r="AF32" s="116"/>
      <c r="AG32" s="253"/>
    </row>
    <row r="33" spans="1:33" x14ac:dyDescent="0.25">
      <c r="A33" s="28">
        <v>20</v>
      </c>
      <c r="B33" s="33">
        <v>44256</v>
      </c>
      <c r="C33" s="31">
        <f t="shared" si="13"/>
        <v>4291.666666666667</v>
      </c>
      <c r="D33" s="31">
        <f t="shared" si="9"/>
        <v>4082.6143444550466</v>
      </c>
      <c r="E33" s="31">
        <f t="shared" si="3"/>
        <v>3838.7530814289112</v>
      </c>
      <c r="F33" s="31">
        <f t="shared" si="14"/>
        <v>57581.296221433768</v>
      </c>
      <c r="G33" s="31">
        <f t="shared" si="11"/>
        <v>161.53593911021449</v>
      </c>
      <c r="H33" s="31">
        <f t="shared" si="12"/>
        <v>64775.911583196008</v>
      </c>
      <c r="I33" s="31"/>
      <c r="J33" s="32"/>
      <c r="L33" s="60"/>
      <c r="M33" s="61"/>
      <c r="N33" s="40" t="s">
        <v>1</v>
      </c>
      <c r="O33" s="164">
        <v>5311002</v>
      </c>
      <c r="P33" s="164">
        <v>7353</v>
      </c>
      <c r="Q33" s="40"/>
      <c r="R33" s="40" t="s">
        <v>105</v>
      </c>
      <c r="S33" s="70">
        <f>S32</f>
        <v>46065.036977146949</v>
      </c>
      <c r="U33">
        <v>22</v>
      </c>
      <c r="V33">
        <v>14</v>
      </c>
      <c r="W33" s="72">
        <f t="shared" si="15"/>
        <v>56211.944444444453</v>
      </c>
      <c r="X33" s="72">
        <f t="shared" ref="X33:X55" si="16">+C26+X32</f>
        <v>58583.333333333321</v>
      </c>
      <c r="Z33" s="116"/>
      <c r="AA33" s="116"/>
      <c r="AB33" s="116"/>
      <c r="AC33" s="165"/>
      <c r="AD33" s="165"/>
      <c r="AE33" s="116"/>
      <c r="AF33" s="116"/>
      <c r="AG33" s="253"/>
    </row>
    <row r="34" spans="1:33" x14ac:dyDescent="0.25">
      <c r="A34" s="28">
        <v>21</v>
      </c>
      <c r="B34" s="33">
        <v>44287</v>
      </c>
      <c r="C34" s="31">
        <f t="shared" si="13"/>
        <v>4291.666666666667</v>
      </c>
      <c r="D34" s="31">
        <f t="shared" si="9"/>
        <v>4072.4332613017928</v>
      </c>
      <c r="E34" s="31">
        <f t="shared" si="3"/>
        <v>3838.7530814289112</v>
      </c>
      <c r="F34" s="31">
        <f t="shared" si="14"/>
        <v>53742.543140004855</v>
      </c>
      <c r="G34" s="31">
        <f t="shared" si="11"/>
        <v>151.21061229132337</v>
      </c>
      <c r="H34" s="31">
        <f t="shared" si="12"/>
        <v>60635.455528820668</v>
      </c>
      <c r="I34" s="31"/>
      <c r="J34" s="32"/>
      <c r="L34" s="133" t="s">
        <v>188</v>
      </c>
      <c r="M34" s="61"/>
      <c r="N34" s="40"/>
      <c r="O34" s="164"/>
      <c r="P34" s="164"/>
      <c r="Q34" s="40"/>
      <c r="R34" s="40"/>
      <c r="S34" s="70"/>
      <c r="U34">
        <v>21</v>
      </c>
      <c r="V34">
        <v>15</v>
      </c>
      <c r="W34" s="72">
        <f t="shared" si="15"/>
        <v>60227.083333333343</v>
      </c>
      <c r="X34" s="72">
        <f t="shared" si="16"/>
        <v>62874.999999999985</v>
      </c>
      <c r="Z34" s="116"/>
      <c r="AA34" s="116"/>
      <c r="AB34" s="116"/>
      <c r="AC34" s="165"/>
      <c r="AD34" s="165"/>
      <c r="AE34" s="116"/>
      <c r="AF34" s="116"/>
      <c r="AG34" s="253"/>
    </row>
    <row r="35" spans="1:33" s="209" customFormat="1" ht="15" customHeight="1" x14ac:dyDescent="0.25">
      <c r="A35" s="28">
        <v>22</v>
      </c>
      <c r="B35" s="33">
        <v>44317</v>
      </c>
      <c r="C35" s="31">
        <f t="shared" si="13"/>
        <v>4291.666666666667</v>
      </c>
      <c r="D35" s="31">
        <f t="shared" si="9"/>
        <v>4062.2775673833353</v>
      </c>
      <c r="E35" s="31">
        <f t="shared" si="3"/>
        <v>3838.7530814289112</v>
      </c>
      <c r="F35" s="31">
        <f t="shared" si="14"/>
        <v>49903.790058575942</v>
      </c>
      <c r="G35" s="31">
        <f t="shared" si="11"/>
        <v>140.85947215538502</v>
      </c>
      <c r="H35" s="31">
        <f t="shared" si="12"/>
        <v>56484.648334309386</v>
      </c>
      <c r="I35" s="31"/>
      <c r="J35" s="32"/>
      <c r="K35" s="259"/>
      <c r="L35" s="260"/>
      <c r="M35" s="232"/>
      <c r="N35" s="240"/>
      <c r="O35" s="261"/>
      <c r="P35" s="261"/>
      <c r="Q35" s="240"/>
      <c r="R35" s="240"/>
      <c r="S35" s="241"/>
      <c r="U35" s="209">
        <v>20</v>
      </c>
      <c r="V35" s="209">
        <v>16</v>
      </c>
      <c r="W35" s="262">
        <f t="shared" si="15"/>
        <v>64242.222222222234</v>
      </c>
      <c r="X35" s="262">
        <f t="shared" si="16"/>
        <v>67166.666666666657</v>
      </c>
      <c r="Z35" s="240"/>
      <c r="AA35" s="240"/>
      <c r="AB35" s="240"/>
      <c r="AC35" s="261"/>
      <c r="AD35" s="261"/>
      <c r="AE35" s="240"/>
      <c r="AF35" s="240"/>
      <c r="AG35" s="269"/>
    </row>
    <row r="36" spans="1:33" s="106" customFormat="1" x14ac:dyDescent="0.25">
      <c r="A36" s="442">
        <v>23</v>
      </c>
      <c r="B36" s="443">
        <v>44348</v>
      </c>
      <c r="C36" s="444">
        <f t="shared" si="13"/>
        <v>4291.666666666667</v>
      </c>
      <c r="D36" s="444">
        <f>+C36/(1+F$1)^A36</f>
        <v>4052.1471993848727</v>
      </c>
      <c r="E36" s="444">
        <f t="shared" si="3"/>
        <v>3838.7530814289112</v>
      </c>
      <c r="F36" s="444">
        <f t="shared" si="14"/>
        <v>46065.036977147029</v>
      </c>
      <c r="G36" s="444">
        <f t="shared" si="11"/>
        <v>130.4824541691068</v>
      </c>
      <c r="H36" s="444">
        <f t="shared" si="12"/>
        <v>52323.464121811827</v>
      </c>
      <c r="I36" s="444"/>
      <c r="J36" s="445"/>
      <c r="K36" s="446"/>
      <c r="L36" s="250" t="s">
        <v>116</v>
      </c>
      <c r="M36" s="109" t="s">
        <v>106</v>
      </c>
      <c r="N36" s="109" t="s">
        <v>0</v>
      </c>
      <c r="O36" s="163">
        <v>3240106</v>
      </c>
      <c r="P36" s="163"/>
      <c r="Q36" s="109"/>
      <c r="R36" s="109" t="s">
        <v>271</v>
      </c>
      <c r="S36" s="110">
        <f>S38-S37</f>
        <v>49254.988673058513</v>
      </c>
      <c r="U36" s="106">
        <v>19</v>
      </c>
      <c r="V36" s="106">
        <v>17</v>
      </c>
      <c r="W36" s="147">
        <f t="shared" si="15"/>
        <v>68257.361111111124</v>
      </c>
      <c r="X36" s="147">
        <f t="shared" si="16"/>
        <v>71458.333333333328</v>
      </c>
      <c r="Y36" s="147"/>
    </row>
    <row r="37" spans="1:33" x14ac:dyDescent="0.25">
      <c r="A37" s="28">
        <v>24</v>
      </c>
      <c r="B37" s="33">
        <v>44378</v>
      </c>
      <c r="C37" s="31">
        <f>(50000*1.03^2)/12</f>
        <v>4420.416666666667</v>
      </c>
      <c r="D37" s="31">
        <f>+C37/(1+F$1)^A37</f>
        <v>4163.3033569739846</v>
      </c>
      <c r="E37" s="31">
        <f t="shared" si="3"/>
        <v>3838.7530814289112</v>
      </c>
      <c r="F37" s="219">
        <f t="shared" si="14"/>
        <v>42226.283895718116</v>
      </c>
      <c r="G37" s="31">
        <f t="shared" si="11"/>
        <v>119.7576186378629</v>
      </c>
      <c r="H37" s="31">
        <f t="shared" si="12"/>
        <v>48022.805073783027</v>
      </c>
      <c r="I37" s="31"/>
      <c r="J37" s="32"/>
      <c r="L37" s="60"/>
      <c r="M37" s="61"/>
      <c r="N37" s="40" t="s">
        <v>0</v>
      </c>
      <c r="O37" s="164">
        <v>2422020</v>
      </c>
      <c r="P37" s="164"/>
      <c r="Q37" s="40"/>
      <c r="R37" s="40" t="s">
        <v>161</v>
      </c>
      <c r="S37" s="70">
        <f>SUM(G25:G36)</f>
        <v>2245.0113269414787</v>
      </c>
      <c r="U37">
        <v>18</v>
      </c>
      <c r="V37">
        <v>18</v>
      </c>
      <c r="W37" s="72">
        <f t="shared" si="15"/>
        <v>72272.500000000015</v>
      </c>
      <c r="X37" s="72">
        <f t="shared" si="16"/>
        <v>75750</v>
      </c>
    </row>
    <row r="38" spans="1:33" x14ac:dyDescent="0.25">
      <c r="A38" s="28">
        <v>25</v>
      </c>
      <c r="B38" s="33">
        <v>44409</v>
      </c>
      <c r="C38" s="31">
        <f t="shared" ref="C38:C48" si="17">(50000*1.03^2)/12</f>
        <v>4420.416666666667</v>
      </c>
      <c r="D38" s="31">
        <f t="shared" si="9"/>
        <v>4152.9210543381387</v>
      </c>
      <c r="E38" s="31">
        <f t="shared" si="3"/>
        <v>3838.7530814289112</v>
      </c>
      <c r="F38" s="31">
        <f t="shared" ref="F38:F48" si="18">+F37-E38</f>
        <v>38387.530814289203</v>
      </c>
      <c r="G38" s="31">
        <f t="shared" si="11"/>
        <v>109.00597101779091</v>
      </c>
      <c r="H38" s="31">
        <f t="shared" si="12"/>
        <v>43711.394378134151</v>
      </c>
      <c r="I38" s="31"/>
      <c r="J38" s="32"/>
      <c r="L38" s="60"/>
      <c r="M38" s="61"/>
      <c r="N38" s="40" t="s">
        <v>1</v>
      </c>
      <c r="O38" s="164"/>
      <c r="P38" s="164"/>
      <c r="Q38" s="40"/>
      <c r="R38" s="40" t="s">
        <v>31</v>
      </c>
      <c r="S38" s="70">
        <f>SUM(C25:C36)</f>
        <v>51499.999999999993</v>
      </c>
      <c r="U38">
        <v>17</v>
      </c>
      <c r="V38">
        <v>19</v>
      </c>
      <c r="W38" s="72">
        <f t="shared" si="15"/>
        <v>76287.638888888905</v>
      </c>
      <c r="X38" s="72">
        <f t="shared" si="16"/>
        <v>80041.666666666672</v>
      </c>
    </row>
    <row r="39" spans="1:33" x14ac:dyDescent="0.25">
      <c r="A39" s="28">
        <v>26</v>
      </c>
      <c r="B39" s="33">
        <v>44440</v>
      </c>
      <c r="C39" s="31">
        <f t="shared" si="17"/>
        <v>4420.416666666667</v>
      </c>
      <c r="D39" s="31">
        <f t="shared" si="9"/>
        <v>4142.5646427313104</v>
      </c>
      <c r="E39" s="31">
        <f t="shared" si="3"/>
        <v>3838.7530814289112</v>
      </c>
      <c r="F39" s="31">
        <f t="shared" si="18"/>
        <v>34548.77773286029</v>
      </c>
      <c r="G39" s="31">
        <f t="shared" si="11"/>
        <v>98.227444278668713</v>
      </c>
      <c r="H39" s="31">
        <f t="shared" si="12"/>
        <v>39389.205155746153</v>
      </c>
      <c r="I39" s="31"/>
      <c r="J39" s="32"/>
      <c r="L39" s="133" t="s">
        <v>119</v>
      </c>
      <c r="M39" s="61"/>
      <c r="N39" s="40"/>
      <c r="O39" s="164"/>
      <c r="P39" s="164"/>
      <c r="Q39" s="40"/>
      <c r="R39" s="40"/>
      <c r="S39" s="70"/>
      <c r="U39">
        <v>16</v>
      </c>
      <c r="V39">
        <v>20</v>
      </c>
      <c r="W39" s="72">
        <f t="shared" si="15"/>
        <v>80302.777777777796</v>
      </c>
      <c r="X39" s="72">
        <f t="shared" si="16"/>
        <v>84333.333333333343</v>
      </c>
    </row>
    <row r="40" spans="1:33" x14ac:dyDescent="0.25">
      <c r="A40" s="28">
        <v>27</v>
      </c>
      <c r="B40" s="33">
        <v>44470</v>
      </c>
      <c r="C40" s="31">
        <f t="shared" si="17"/>
        <v>4420.416666666667</v>
      </c>
      <c r="D40" s="31">
        <f t="shared" si="9"/>
        <v>4132.2340575873422</v>
      </c>
      <c r="E40" s="31">
        <f t="shared" si="3"/>
        <v>3838.7530814289112</v>
      </c>
      <c r="F40" s="31">
        <f t="shared" si="18"/>
        <v>30710.024651431377</v>
      </c>
      <c r="G40" s="31">
        <f t="shared" si="11"/>
        <v>87.42197122269873</v>
      </c>
      <c r="H40" s="31">
        <f t="shared" si="12"/>
        <v>35056.210460302187</v>
      </c>
      <c r="I40" s="31"/>
      <c r="J40" s="32"/>
      <c r="L40" s="60"/>
      <c r="M40" s="61"/>
      <c r="N40" s="40"/>
      <c r="O40" s="142"/>
      <c r="P40" s="142"/>
      <c r="Q40" s="142"/>
      <c r="R40" s="142"/>
      <c r="S40" s="70"/>
      <c r="U40">
        <v>15</v>
      </c>
      <c r="V40">
        <v>21</v>
      </c>
      <c r="W40" s="72">
        <f t="shared" si="15"/>
        <v>84317.916666666686</v>
      </c>
      <c r="X40" s="72">
        <f t="shared" si="16"/>
        <v>88625.000000000015</v>
      </c>
    </row>
    <row r="41" spans="1:33" x14ac:dyDescent="0.25">
      <c r="A41" s="28">
        <v>28</v>
      </c>
      <c r="B41" s="33">
        <v>44501</v>
      </c>
      <c r="C41" s="31">
        <f t="shared" si="17"/>
        <v>4420.416666666667</v>
      </c>
      <c r="D41" s="31">
        <f t="shared" si="9"/>
        <v>4121.9292345010899</v>
      </c>
      <c r="E41" s="31">
        <f t="shared" si="3"/>
        <v>3838.7530814289112</v>
      </c>
      <c r="F41" s="31">
        <f t="shared" si="18"/>
        <v>26871.271570002464</v>
      </c>
      <c r="G41" s="31">
        <f t="shared" si="11"/>
        <v>76.5894844840888</v>
      </c>
      <c r="H41" s="31">
        <f t="shared" si="12"/>
        <v>30712.383278119607</v>
      </c>
      <c r="I41" s="31"/>
      <c r="J41" s="32"/>
      <c r="L41" s="115" t="s">
        <v>118</v>
      </c>
      <c r="M41" s="116" t="s">
        <v>106</v>
      </c>
      <c r="N41" s="116" t="s">
        <v>0</v>
      </c>
      <c r="O41" s="142">
        <v>2241002</v>
      </c>
      <c r="P41" s="142"/>
      <c r="Q41" s="142"/>
      <c r="R41" s="143" t="s">
        <v>251</v>
      </c>
      <c r="S41" s="159">
        <v>6000</v>
      </c>
      <c r="U41">
        <v>14</v>
      </c>
      <c r="V41">
        <v>22</v>
      </c>
      <c r="W41" s="72">
        <f t="shared" si="15"/>
        <v>88333.055555555577</v>
      </c>
      <c r="X41" s="72">
        <f t="shared" si="16"/>
        <v>92916.666666666686</v>
      </c>
    </row>
    <row r="42" spans="1:33" x14ac:dyDescent="0.25">
      <c r="A42" s="28">
        <v>29</v>
      </c>
      <c r="B42" s="33">
        <v>44531</v>
      </c>
      <c r="C42" s="31">
        <f t="shared" si="17"/>
        <v>4420.416666666667</v>
      </c>
      <c r="D42" s="31">
        <f t="shared" si="9"/>
        <v>4111.6501092280196</v>
      </c>
      <c r="E42" s="31">
        <f t="shared" si="3"/>
        <v>3838.7530814289112</v>
      </c>
      <c r="F42" s="31">
        <f t="shared" si="18"/>
        <v>23032.518488573551</v>
      </c>
      <c r="G42" s="31">
        <f t="shared" si="11"/>
        <v>65.729916528632344</v>
      </c>
      <c r="H42" s="31">
        <f t="shared" si="12"/>
        <v>26357.69652798157</v>
      </c>
      <c r="I42" s="31"/>
      <c r="J42" s="32"/>
      <c r="L42" s="115"/>
      <c r="M42" s="116"/>
      <c r="N42" s="116" t="s">
        <v>1</v>
      </c>
      <c r="O42" s="142">
        <v>5311002</v>
      </c>
      <c r="P42" s="142">
        <v>7153</v>
      </c>
      <c r="Q42" s="142"/>
      <c r="R42" s="155" t="s">
        <v>340</v>
      </c>
      <c r="S42" s="159">
        <f>+S41</f>
        <v>6000</v>
      </c>
      <c r="U42">
        <v>13</v>
      </c>
      <c r="V42">
        <v>23</v>
      </c>
      <c r="W42" s="72">
        <f t="shared" si="15"/>
        <v>92348.194444444467</v>
      </c>
      <c r="X42" s="72">
        <f t="shared" si="16"/>
        <v>97208.333333333358</v>
      </c>
    </row>
    <row r="43" spans="1:33" x14ac:dyDescent="0.25">
      <c r="A43" s="28">
        <v>30</v>
      </c>
      <c r="B43" s="33">
        <v>44562</v>
      </c>
      <c r="C43" s="31">
        <f t="shared" si="17"/>
        <v>4420.416666666667</v>
      </c>
      <c r="D43" s="31">
        <f t="shared" si="9"/>
        <v>4101.3966176838112</v>
      </c>
      <c r="E43" s="31">
        <f t="shared" si="3"/>
        <v>3838.7530814289112</v>
      </c>
      <c r="F43" s="31">
        <f t="shared" si="18"/>
        <v>19193.765407144638</v>
      </c>
      <c r="G43" s="31">
        <f t="shared" si="11"/>
        <v>54.843199653287257</v>
      </c>
      <c r="H43" s="31">
        <f t="shared" si="12"/>
        <v>21992.123060968192</v>
      </c>
      <c r="I43" s="31"/>
      <c r="J43" s="32"/>
      <c r="L43" s="115" t="s">
        <v>294</v>
      </c>
      <c r="M43" s="116"/>
      <c r="N43" s="116"/>
      <c r="O43" s="165"/>
      <c r="P43" s="165"/>
      <c r="Q43" s="116"/>
      <c r="R43" s="116"/>
      <c r="S43" s="159"/>
      <c r="U43">
        <v>12</v>
      </c>
      <c r="V43">
        <v>24</v>
      </c>
      <c r="W43" s="72">
        <f t="shared" si="15"/>
        <v>96363.333333333343</v>
      </c>
      <c r="X43" s="72">
        <f t="shared" si="16"/>
        <v>101500.00000000003</v>
      </c>
    </row>
    <row r="44" spans="1:33" x14ac:dyDescent="0.25">
      <c r="A44" s="28">
        <v>31</v>
      </c>
      <c r="B44" s="33">
        <v>44593</v>
      </c>
      <c r="C44" s="31">
        <f t="shared" si="17"/>
        <v>4420.416666666667</v>
      </c>
      <c r="D44" s="31">
        <f t="shared" si="9"/>
        <v>4091.1686959439517</v>
      </c>
      <c r="E44" s="31">
        <f t="shared" si="3"/>
        <v>3838.7530814289112</v>
      </c>
      <c r="F44" s="31">
        <f t="shared" si="18"/>
        <v>15355.012325715727</v>
      </c>
      <c r="G44" s="31">
        <f t="shared" si="11"/>
        <v>43.929265985753808</v>
      </c>
      <c r="H44" s="31">
        <f t="shared" si="12"/>
        <v>17615.635660287277</v>
      </c>
      <c r="I44" s="31"/>
      <c r="J44" s="32"/>
      <c r="L44" s="115"/>
      <c r="M44" s="116"/>
      <c r="N44" s="116"/>
      <c r="O44" s="165"/>
      <c r="P44" s="165"/>
      <c r="Q44" s="116"/>
      <c r="R44" s="116"/>
      <c r="S44" s="159"/>
      <c r="U44">
        <v>11</v>
      </c>
      <c r="V44">
        <v>25</v>
      </c>
      <c r="W44" s="72">
        <f t="shared" si="15"/>
        <v>100378.47222222223</v>
      </c>
      <c r="X44" s="72">
        <f t="shared" si="16"/>
        <v>105920.4166666667</v>
      </c>
    </row>
    <row r="45" spans="1:33" x14ac:dyDescent="0.25">
      <c r="A45" s="28">
        <v>32</v>
      </c>
      <c r="B45" s="33">
        <v>44621</v>
      </c>
      <c r="C45" s="31">
        <f t="shared" si="17"/>
        <v>4420.416666666667</v>
      </c>
      <c r="D45" s="31">
        <f t="shared" si="9"/>
        <v>4080.9662802433427</v>
      </c>
      <c r="E45" s="31">
        <f t="shared" si="3"/>
        <v>3838.7530814289112</v>
      </c>
      <c r="F45" s="31">
        <f t="shared" si="18"/>
        <v>11516.259244286815</v>
      </c>
      <c r="G45" s="31">
        <f t="shared" si="11"/>
        <v>32.988047484051521</v>
      </c>
      <c r="H45" s="31">
        <f t="shared" si="12"/>
        <v>13228.207041104661</v>
      </c>
      <c r="I45" s="31"/>
      <c r="J45" s="32"/>
      <c r="L45" s="115" t="s">
        <v>120</v>
      </c>
      <c r="M45" s="116" t="s">
        <v>107</v>
      </c>
      <c r="N45" s="40" t="s">
        <v>0</v>
      </c>
      <c r="O45" s="164">
        <v>2241002</v>
      </c>
      <c r="P45" s="164"/>
      <c r="Q45" s="40"/>
      <c r="R45" s="40" t="s">
        <v>251</v>
      </c>
      <c r="S45" s="70">
        <f>SUM(E37:E48)</f>
        <v>46065.036977146949</v>
      </c>
      <c r="U45">
        <v>10</v>
      </c>
      <c r="V45">
        <v>26</v>
      </c>
      <c r="W45" s="72">
        <f t="shared" si="15"/>
        <v>104393.61111111112</v>
      </c>
      <c r="X45" s="72">
        <f t="shared" si="16"/>
        <v>110340.83333333337</v>
      </c>
    </row>
    <row r="46" spans="1:33" x14ac:dyDescent="0.25">
      <c r="A46" s="28">
        <v>33</v>
      </c>
      <c r="B46" s="33">
        <v>44652</v>
      </c>
      <c r="C46" s="31">
        <f t="shared" si="17"/>
        <v>4420.416666666667</v>
      </c>
      <c r="D46" s="31">
        <f t="shared" si="9"/>
        <v>4070.7893069759029</v>
      </c>
      <c r="E46" s="31">
        <f t="shared" si="3"/>
        <v>3838.7530814289112</v>
      </c>
      <c r="F46" s="31">
        <f t="shared" si="18"/>
        <v>7677.5061628579042</v>
      </c>
      <c r="G46" s="31">
        <f t="shared" si="11"/>
        <v>22.019475936094988</v>
      </c>
      <c r="H46" s="31">
        <f t="shared" si="12"/>
        <v>8829.8098503740894</v>
      </c>
      <c r="I46" s="31"/>
      <c r="J46" s="32"/>
      <c r="L46" s="60"/>
      <c r="M46" s="61"/>
      <c r="N46" s="40" t="s">
        <v>1</v>
      </c>
      <c r="O46" s="164">
        <v>5311002</v>
      </c>
      <c r="P46" s="164">
        <v>7353</v>
      </c>
      <c r="Q46" s="40"/>
      <c r="R46" s="40" t="s">
        <v>105</v>
      </c>
      <c r="S46" s="70">
        <f>S45</f>
        <v>46065.036977146949</v>
      </c>
      <c r="U46">
        <v>9</v>
      </c>
      <c r="V46">
        <v>27</v>
      </c>
      <c r="W46" s="72">
        <f t="shared" si="15"/>
        <v>108408.75000000001</v>
      </c>
      <c r="X46" s="72">
        <f t="shared" si="16"/>
        <v>114761.25000000004</v>
      </c>
    </row>
    <row r="47" spans="1:33" x14ac:dyDescent="0.25">
      <c r="A47" s="28">
        <v>34</v>
      </c>
      <c r="B47" s="33">
        <v>44682</v>
      </c>
      <c r="C47" s="31">
        <f t="shared" si="17"/>
        <v>4420.416666666667</v>
      </c>
      <c r="D47" s="31">
        <f t="shared" si="9"/>
        <v>4060.6377126941679</v>
      </c>
      <c r="E47" s="31">
        <f t="shared" si="3"/>
        <v>3838.7530814289112</v>
      </c>
      <c r="F47" s="31">
        <f t="shared" si="18"/>
        <v>3838.753081428993</v>
      </c>
      <c r="G47" s="31">
        <f t="shared" si="11"/>
        <v>11.023482959268556</v>
      </c>
      <c r="H47" s="31">
        <f t="shared" si="12"/>
        <v>4420.4166666666906</v>
      </c>
      <c r="I47" s="31"/>
      <c r="J47" s="32"/>
      <c r="L47" s="133" t="s">
        <v>193</v>
      </c>
      <c r="M47" s="61"/>
      <c r="N47" s="40"/>
      <c r="O47" s="164"/>
      <c r="P47" s="164"/>
      <c r="Q47" s="40"/>
      <c r="R47" s="40"/>
      <c r="S47" s="70"/>
      <c r="U47">
        <v>8</v>
      </c>
      <c r="V47">
        <v>28</v>
      </c>
      <c r="W47" s="72">
        <f t="shared" si="15"/>
        <v>112423.88888888891</v>
      </c>
      <c r="X47" s="72">
        <f t="shared" si="16"/>
        <v>119181.66666666672</v>
      </c>
    </row>
    <row r="48" spans="1:33" x14ac:dyDescent="0.25">
      <c r="A48" s="28">
        <v>35</v>
      </c>
      <c r="B48" s="33">
        <v>44713</v>
      </c>
      <c r="C48" s="31">
        <f t="shared" si="17"/>
        <v>4420.416666666667</v>
      </c>
      <c r="D48" s="31">
        <f>+C48/(1+F$1)^A48</f>
        <v>4050.5114341088961</v>
      </c>
      <c r="E48" s="31">
        <f t="shared" si="3"/>
        <v>3838.7530814289112</v>
      </c>
      <c r="F48" s="31">
        <f t="shared" si="18"/>
        <v>8.1854523159563541E-11</v>
      </c>
      <c r="G48" s="31">
        <f t="shared" si="11"/>
        <v>5.9117155615240337E-14</v>
      </c>
      <c r="H48" s="31">
        <f t="shared" si="12"/>
        <v>2.3705979401711376E-11</v>
      </c>
      <c r="I48" s="31"/>
      <c r="J48" s="32"/>
      <c r="L48" s="60"/>
      <c r="M48" s="61"/>
      <c r="N48" s="40"/>
      <c r="O48" s="164"/>
      <c r="P48" s="164"/>
      <c r="Q48" s="40"/>
      <c r="R48" s="40"/>
      <c r="S48" s="70"/>
      <c r="U48">
        <v>7</v>
      </c>
      <c r="V48">
        <v>29</v>
      </c>
      <c r="W48" s="72">
        <f t="shared" si="15"/>
        <v>116439.0277777778</v>
      </c>
      <c r="X48" s="72">
        <f t="shared" si="16"/>
        <v>123602.08333333339</v>
      </c>
    </row>
    <row r="49" spans="1:24" x14ac:dyDescent="0.25">
      <c r="A49" s="28"/>
      <c r="B49" s="29"/>
      <c r="C49" s="30">
        <f>SUM(C11:C48)</f>
        <v>144545.00000000003</v>
      </c>
      <c r="D49" s="30">
        <f>SUM(D12:D48)</f>
        <v>138195.11093144081</v>
      </c>
      <c r="E49" s="30">
        <f>SUM(E11:E48)</f>
        <v>138195.11093144072</v>
      </c>
      <c r="F49" s="29"/>
      <c r="G49" s="30">
        <f>SUM(G11:G48)</f>
        <v>6349.8890685592642</v>
      </c>
      <c r="H49" s="29"/>
      <c r="I49" s="31"/>
      <c r="J49" s="32"/>
      <c r="L49" s="134" t="s">
        <v>122</v>
      </c>
      <c r="M49" s="116" t="s">
        <v>107</v>
      </c>
      <c r="N49" s="40" t="s">
        <v>0</v>
      </c>
      <c r="O49" s="164">
        <v>3240106</v>
      </c>
      <c r="P49" s="164"/>
      <c r="Q49" s="40"/>
      <c r="R49" s="40" t="s">
        <v>271</v>
      </c>
      <c r="S49" s="70">
        <f>S51-S50</f>
        <v>52323.46412181179</v>
      </c>
      <c r="U49">
        <v>6</v>
      </c>
      <c r="V49">
        <v>30</v>
      </c>
      <c r="W49" s="72">
        <f t="shared" si="15"/>
        <v>120454.16666666669</v>
      </c>
      <c r="X49" s="72">
        <f t="shared" si="16"/>
        <v>128022.50000000006</v>
      </c>
    </row>
    <row r="50" spans="1:24" x14ac:dyDescent="0.25">
      <c r="A50" s="28"/>
      <c r="B50" s="29"/>
      <c r="C50" s="29"/>
      <c r="D50" s="29"/>
      <c r="E50" s="29"/>
      <c r="F50" s="29"/>
      <c r="G50" s="29"/>
      <c r="H50" s="29"/>
      <c r="I50" s="31"/>
      <c r="J50" s="32"/>
      <c r="L50" s="60"/>
      <c r="M50" s="61"/>
      <c r="N50" s="40" t="s">
        <v>0</v>
      </c>
      <c r="O50" s="164">
        <v>2422020</v>
      </c>
      <c r="P50" s="164"/>
      <c r="Q50" s="40"/>
      <c r="R50" s="40" t="s">
        <v>161</v>
      </c>
      <c r="S50" s="70">
        <f>SUM(G37:G48)</f>
        <v>721.53587818819869</v>
      </c>
      <c r="U50">
        <v>5</v>
      </c>
      <c r="V50">
        <v>31</v>
      </c>
      <c r="W50" s="72">
        <f t="shared" si="15"/>
        <v>124469.30555555558</v>
      </c>
      <c r="X50" s="72">
        <f t="shared" si="16"/>
        <v>132442.91666666672</v>
      </c>
    </row>
    <row r="51" spans="1:24" x14ac:dyDescent="0.25">
      <c r="A51" s="28"/>
      <c r="B51" s="29"/>
      <c r="C51" s="29"/>
      <c r="D51" s="29"/>
      <c r="E51" s="29"/>
      <c r="F51" s="29"/>
      <c r="G51" s="29"/>
      <c r="H51" s="29"/>
      <c r="I51" s="31"/>
      <c r="J51" s="32"/>
      <c r="L51" s="60"/>
      <c r="M51" s="61"/>
      <c r="N51" s="40" t="s">
        <v>1</v>
      </c>
      <c r="O51" s="164"/>
      <c r="P51" s="164"/>
      <c r="Q51" s="40"/>
      <c r="R51" s="40" t="s">
        <v>31</v>
      </c>
      <c r="S51" s="70">
        <f>SUM(C37:C48)</f>
        <v>53044.999999999993</v>
      </c>
      <c r="U51">
        <v>4</v>
      </c>
      <c r="V51">
        <v>32</v>
      </c>
      <c r="W51" s="72">
        <f t="shared" si="15"/>
        <v>128484.44444444447</v>
      </c>
      <c r="X51" s="72">
        <f t="shared" si="16"/>
        <v>136863.33333333337</v>
      </c>
    </row>
    <row r="52" spans="1:24" x14ac:dyDescent="0.25">
      <c r="A52" s="28"/>
      <c r="B52" s="29"/>
      <c r="C52" s="29"/>
      <c r="D52" s="29"/>
      <c r="E52" s="31"/>
      <c r="F52" s="29"/>
      <c r="G52" s="29"/>
      <c r="H52" s="29"/>
      <c r="I52" s="31"/>
      <c r="J52" s="32"/>
      <c r="L52" s="133" t="s">
        <v>121</v>
      </c>
      <c r="M52" s="61"/>
      <c r="N52" s="40"/>
      <c r="O52" s="164"/>
      <c r="P52" s="164"/>
      <c r="Q52" s="40"/>
      <c r="R52" s="40"/>
      <c r="S52" s="70"/>
      <c r="U52">
        <v>3</v>
      </c>
      <c r="V52">
        <v>33</v>
      </c>
      <c r="W52" s="72">
        <f t="shared" si="15"/>
        <v>132499.58333333334</v>
      </c>
      <c r="X52" s="72">
        <f t="shared" si="16"/>
        <v>141283.75000000003</v>
      </c>
    </row>
    <row r="53" spans="1:24" x14ac:dyDescent="0.25">
      <c r="A53" s="28"/>
      <c r="B53" s="29"/>
      <c r="C53" s="29"/>
      <c r="D53" s="29"/>
      <c r="E53" s="29"/>
      <c r="F53" s="29"/>
      <c r="G53" s="29"/>
      <c r="H53" s="29"/>
      <c r="I53" s="31"/>
      <c r="J53" s="32"/>
      <c r="L53" s="60"/>
      <c r="M53" s="61"/>
      <c r="N53" s="40"/>
      <c r="O53" s="142"/>
      <c r="P53" s="142"/>
      <c r="Q53" s="142"/>
      <c r="R53" s="142"/>
      <c r="S53" s="70"/>
      <c r="U53">
        <v>2</v>
      </c>
      <c r="V53">
        <v>34</v>
      </c>
      <c r="W53" s="72">
        <f t="shared" si="15"/>
        <v>136514.72222222225</v>
      </c>
      <c r="X53" s="72">
        <f t="shared" si="16"/>
        <v>145704.16666666669</v>
      </c>
    </row>
    <row r="54" spans="1:24" x14ac:dyDescent="0.25">
      <c r="A54" s="28"/>
      <c r="B54" s="29"/>
      <c r="C54" s="29"/>
      <c r="D54" s="29"/>
      <c r="E54" s="29"/>
      <c r="F54" s="29"/>
      <c r="G54" s="29"/>
      <c r="H54" s="29"/>
      <c r="I54" s="31"/>
      <c r="J54" s="32"/>
      <c r="L54" s="115" t="s">
        <v>200</v>
      </c>
      <c r="M54" s="116" t="s">
        <v>106</v>
      </c>
      <c r="N54" s="116" t="s">
        <v>0</v>
      </c>
      <c r="O54" s="142">
        <v>2241002</v>
      </c>
      <c r="P54" s="142"/>
      <c r="Q54" s="142"/>
      <c r="R54" s="143" t="s">
        <v>251</v>
      </c>
      <c r="S54" s="159">
        <v>6000</v>
      </c>
      <c r="U54">
        <v>1</v>
      </c>
      <c r="V54">
        <v>35</v>
      </c>
      <c r="W54" s="72">
        <f t="shared" si="15"/>
        <v>140529.86111111112</v>
      </c>
      <c r="X54" s="72">
        <f t="shared" si="16"/>
        <v>150124.58333333334</v>
      </c>
    </row>
    <row r="55" spans="1:24" x14ac:dyDescent="0.25">
      <c r="A55" s="28"/>
      <c r="B55" s="29"/>
      <c r="C55" s="29"/>
      <c r="D55" s="29"/>
      <c r="E55" s="29"/>
      <c r="F55" s="29"/>
      <c r="G55" s="29"/>
      <c r="H55" s="29"/>
      <c r="I55" s="31"/>
      <c r="J55" s="32"/>
      <c r="L55" s="115"/>
      <c r="M55" s="116"/>
      <c r="N55" s="116" t="s">
        <v>1</v>
      </c>
      <c r="O55" s="142">
        <v>5311002</v>
      </c>
      <c r="P55" s="142">
        <v>7153</v>
      </c>
      <c r="Q55" s="142"/>
      <c r="R55" s="155" t="s">
        <v>340</v>
      </c>
      <c r="S55" s="159">
        <f>+S54</f>
        <v>6000</v>
      </c>
      <c r="U55">
        <v>0</v>
      </c>
      <c r="V55">
        <v>36</v>
      </c>
      <c r="W55" s="72">
        <f t="shared" si="15"/>
        <v>144545.00000000003</v>
      </c>
      <c r="X55" s="72">
        <f t="shared" si="16"/>
        <v>154545</v>
      </c>
    </row>
    <row r="56" spans="1:24" ht="15.75" thickBot="1" x14ac:dyDescent="0.3">
      <c r="A56" s="35"/>
      <c r="B56" s="36"/>
      <c r="C56" s="36"/>
      <c r="D56" s="36"/>
      <c r="E56" s="36"/>
      <c r="F56" s="36"/>
      <c r="G56" s="36"/>
      <c r="H56" s="36"/>
      <c r="I56" s="36"/>
      <c r="J56" s="38"/>
      <c r="L56" s="136" t="s">
        <v>294</v>
      </c>
      <c r="M56" s="137"/>
      <c r="N56" s="137"/>
      <c r="O56" s="172"/>
      <c r="P56" s="172"/>
      <c r="Q56" s="137"/>
      <c r="R56" s="137"/>
      <c r="S56" s="173"/>
    </row>
    <row r="57" spans="1:24" ht="14.25" customHeight="1" thickBot="1" x14ac:dyDescent="0.3"/>
    <row r="58" spans="1:24" x14ac:dyDescent="0.25">
      <c r="A58" s="278" t="s">
        <v>278</v>
      </c>
      <c r="B58" s="279"/>
      <c r="C58" s="279"/>
      <c r="D58" s="279"/>
      <c r="E58" s="279"/>
      <c r="F58" s="279"/>
      <c r="G58" s="279"/>
      <c r="H58" s="279"/>
      <c r="I58" s="279"/>
      <c r="J58" s="279"/>
      <c r="K58" s="279"/>
      <c r="L58" s="279"/>
      <c r="M58" s="279"/>
      <c r="N58" s="279"/>
      <c r="O58" s="279"/>
      <c r="P58" s="279"/>
      <c r="Q58" s="279"/>
      <c r="R58" s="279"/>
      <c r="S58" s="280"/>
    </row>
    <row r="59" spans="1:24" x14ac:dyDescent="0.25">
      <c r="A59" s="287" t="s">
        <v>438</v>
      </c>
      <c r="B59" s="288"/>
      <c r="C59" s="288"/>
      <c r="D59" s="288"/>
      <c r="E59" s="288"/>
      <c r="F59" s="288"/>
      <c r="G59" s="288"/>
      <c r="H59" s="288"/>
      <c r="I59" s="288"/>
      <c r="J59" s="288"/>
      <c r="K59" s="288"/>
      <c r="L59" s="288"/>
      <c r="M59" s="288"/>
      <c r="N59" s="288"/>
      <c r="O59" s="288"/>
      <c r="P59" s="288"/>
      <c r="Q59" s="288"/>
      <c r="R59" s="288"/>
      <c r="S59" s="289"/>
    </row>
    <row r="60" spans="1:24" x14ac:dyDescent="0.25">
      <c r="A60" s="287" t="s">
        <v>280</v>
      </c>
      <c r="B60" s="288"/>
      <c r="C60" s="288"/>
      <c r="D60" s="288"/>
      <c r="E60" s="288"/>
      <c r="F60" s="288"/>
      <c r="G60" s="288"/>
      <c r="H60" s="288"/>
      <c r="I60" s="288"/>
      <c r="J60" s="288"/>
      <c r="K60" s="288"/>
      <c r="L60" s="288"/>
      <c r="M60" s="288"/>
      <c r="N60" s="288"/>
      <c r="O60" s="288"/>
      <c r="P60" s="288"/>
      <c r="Q60" s="288"/>
      <c r="R60" s="288"/>
      <c r="S60" s="289"/>
    </row>
    <row r="61" spans="1:24" ht="15.75" thickBot="1" x14ac:dyDescent="0.3">
      <c r="A61" s="291"/>
      <c r="B61" s="292"/>
      <c r="C61" s="292"/>
      <c r="D61" s="292"/>
      <c r="E61" s="292"/>
      <c r="F61" s="292"/>
      <c r="G61" s="292"/>
      <c r="H61" s="292"/>
      <c r="I61" s="292"/>
      <c r="J61" s="292"/>
      <c r="K61" s="292"/>
      <c r="L61" s="292"/>
      <c r="M61" s="292"/>
      <c r="N61" s="292"/>
      <c r="O61" s="292"/>
      <c r="P61" s="292"/>
      <c r="Q61" s="292"/>
      <c r="R61" s="292"/>
      <c r="S61" s="293"/>
    </row>
    <row r="62" spans="1:24" ht="15.75" thickBot="1" x14ac:dyDescent="0.3">
      <c r="A62" s="290"/>
      <c r="B62" s="290"/>
      <c r="C62" s="290"/>
      <c r="D62" s="290"/>
      <c r="E62" s="290"/>
      <c r="F62" s="290"/>
      <c r="G62" s="290"/>
      <c r="H62" s="290"/>
      <c r="I62" s="290"/>
      <c r="J62" s="290"/>
      <c r="K62" s="290"/>
      <c r="L62" s="290"/>
      <c r="M62" s="290"/>
      <c r="N62" s="290"/>
      <c r="O62" s="290"/>
      <c r="P62" s="290"/>
      <c r="Q62" s="290"/>
      <c r="R62" s="290"/>
      <c r="S62" s="290"/>
    </row>
    <row r="63" spans="1:24" s="107" customFormat="1" x14ac:dyDescent="0.25">
      <c r="A63" s="278" t="s">
        <v>223</v>
      </c>
      <c r="B63" s="279"/>
      <c r="C63" s="279"/>
      <c r="D63" s="279"/>
      <c r="E63" s="279"/>
      <c r="F63" s="279"/>
      <c r="G63" s="279"/>
      <c r="H63" s="279"/>
      <c r="I63" s="279"/>
      <c r="J63" s="279"/>
      <c r="K63" s="279"/>
      <c r="L63" s="279"/>
      <c r="M63" s="279"/>
      <c r="N63" s="279"/>
      <c r="O63" s="279"/>
      <c r="P63" s="279"/>
      <c r="Q63" s="279"/>
      <c r="R63" s="279"/>
      <c r="S63" s="280"/>
      <c r="W63" s="149"/>
    </row>
    <row r="64" spans="1:24" s="107" customFormat="1" x14ac:dyDescent="0.25">
      <c r="A64" s="308" t="s">
        <v>241</v>
      </c>
      <c r="B64" s="309"/>
      <c r="C64" s="309"/>
      <c r="D64" s="309"/>
      <c r="E64" s="309"/>
      <c r="F64" s="309"/>
      <c r="G64" s="309"/>
      <c r="H64" s="309"/>
      <c r="I64" s="309"/>
      <c r="J64" s="309"/>
      <c r="K64" s="309"/>
      <c r="L64" s="309"/>
      <c r="M64" s="309"/>
      <c r="N64" s="309"/>
      <c r="O64" s="309"/>
      <c r="P64" s="309"/>
      <c r="Q64" s="309"/>
      <c r="R64" s="309"/>
      <c r="S64" s="310"/>
      <c r="W64" s="149"/>
    </row>
    <row r="65" spans="1:23" s="107" customFormat="1" x14ac:dyDescent="0.25">
      <c r="A65" s="311"/>
      <c r="B65" s="312"/>
      <c r="C65" s="312"/>
      <c r="D65" s="312"/>
      <c r="E65" s="312"/>
      <c r="F65" s="312"/>
      <c r="G65" s="312"/>
      <c r="H65" s="312"/>
      <c r="I65" s="312"/>
      <c r="J65" s="312"/>
      <c r="K65" s="312"/>
      <c r="L65" s="312"/>
      <c r="M65" s="312"/>
      <c r="N65" s="312"/>
      <c r="O65" s="312"/>
      <c r="P65" s="312"/>
      <c r="Q65" s="312"/>
      <c r="R65" s="312"/>
      <c r="S65" s="313"/>
      <c r="W65" s="149"/>
    </row>
    <row r="66" spans="1:23" x14ac:dyDescent="0.25">
      <c r="A66" s="299" t="s">
        <v>297</v>
      </c>
      <c r="B66" s="300"/>
      <c r="C66" s="300"/>
      <c r="D66" s="300"/>
      <c r="E66" s="300"/>
      <c r="F66" s="300"/>
      <c r="G66" s="300"/>
      <c r="H66" s="300"/>
      <c r="I66" s="300"/>
      <c r="J66" s="300"/>
      <c r="K66" s="300"/>
      <c r="L66" s="300"/>
      <c r="M66" s="300"/>
      <c r="N66" s="300"/>
      <c r="O66" s="300"/>
      <c r="P66" s="300"/>
      <c r="Q66" s="300"/>
      <c r="R66" s="300"/>
      <c r="S66" s="301"/>
    </row>
    <row r="67" spans="1:23" ht="18" customHeight="1" x14ac:dyDescent="0.25">
      <c r="A67" s="294" t="s">
        <v>298</v>
      </c>
      <c r="B67" s="295"/>
      <c r="C67" s="295"/>
      <c r="D67" s="295"/>
      <c r="E67" s="295"/>
      <c r="F67" s="295"/>
      <c r="G67" s="295"/>
      <c r="H67" s="295"/>
      <c r="I67" s="295"/>
      <c r="J67" s="295"/>
      <c r="K67" s="295"/>
      <c r="L67" s="295"/>
      <c r="M67" s="295"/>
      <c r="N67" s="295"/>
      <c r="O67" s="295"/>
      <c r="P67" s="295"/>
      <c r="Q67" s="295"/>
      <c r="R67" s="295"/>
      <c r="S67" s="296"/>
    </row>
    <row r="68" spans="1:23" ht="112.5" customHeight="1" x14ac:dyDescent="0.25">
      <c r="A68" s="294" t="s">
        <v>439</v>
      </c>
      <c r="B68" s="297"/>
      <c r="C68" s="297"/>
      <c r="D68" s="297"/>
      <c r="E68" s="297"/>
      <c r="F68" s="297"/>
      <c r="G68" s="297"/>
      <c r="H68" s="297"/>
      <c r="I68" s="297"/>
      <c r="J68" s="297"/>
      <c r="K68" s="297"/>
      <c r="L68" s="297"/>
      <c r="M68" s="297"/>
      <c r="N68" s="297"/>
      <c r="O68" s="297"/>
      <c r="P68" s="297"/>
      <c r="Q68" s="297"/>
      <c r="R68" s="297"/>
      <c r="S68" s="298"/>
    </row>
    <row r="69" spans="1:23" ht="116.25" customHeight="1" x14ac:dyDescent="0.25">
      <c r="A69" s="294" t="s">
        <v>440</v>
      </c>
      <c r="B69" s="295"/>
      <c r="C69" s="295"/>
      <c r="D69" s="295"/>
      <c r="E69" s="295"/>
      <c r="F69" s="295"/>
      <c r="G69" s="295"/>
      <c r="H69" s="295"/>
      <c r="I69" s="295"/>
      <c r="J69" s="295"/>
      <c r="K69" s="295"/>
      <c r="L69" s="295"/>
      <c r="M69" s="295"/>
      <c r="N69" s="295"/>
      <c r="O69" s="295"/>
      <c r="P69" s="295"/>
      <c r="Q69" s="295"/>
      <c r="R69" s="295"/>
      <c r="S69" s="296"/>
    </row>
    <row r="70" spans="1:23" s="175" customFormat="1" ht="21" customHeight="1" thickBot="1" x14ac:dyDescent="0.3">
      <c r="A70" s="314"/>
      <c r="B70" s="315"/>
      <c r="C70" s="315"/>
      <c r="D70" s="315"/>
      <c r="E70" s="315"/>
      <c r="F70" s="315"/>
      <c r="G70" s="315"/>
      <c r="H70" s="315"/>
      <c r="I70" s="315"/>
      <c r="J70" s="315"/>
      <c r="K70" s="315"/>
      <c r="L70" s="315"/>
      <c r="M70" s="315"/>
      <c r="N70" s="315"/>
      <c r="O70" s="315"/>
      <c r="P70" s="315"/>
      <c r="Q70" s="315"/>
      <c r="R70" s="315"/>
      <c r="S70" s="316"/>
      <c r="W70" s="176"/>
    </row>
    <row r="71" spans="1:23" s="175" customFormat="1" ht="19.5" customHeight="1" x14ac:dyDescent="0.25">
      <c r="A71"/>
      <c r="B71"/>
      <c r="C71"/>
      <c r="D71"/>
      <c r="E71"/>
      <c r="F71"/>
      <c r="G71"/>
      <c r="H71"/>
      <c r="I71"/>
      <c r="J71"/>
      <c r="K71" s="29"/>
      <c r="L71" s="1"/>
      <c r="M71" s="1"/>
      <c r="N71"/>
      <c r="O71" s="160"/>
      <c r="P71" s="160"/>
      <c r="Q71"/>
      <c r="R71"/>
      <c r="S71" s="72"/>
      <c r="W71" s="176"/>
    </row>
    <row r="72" spans="1:23" ht="15.75" customHeight="1" x14ac:dyDescent="0.25"/>
  </sheetData>
  <mergeCells count="19">
    <mergeCell ref="A67:S67"/>
    <mergeCell ref="A68:S68"/>
    <mergeCell ref="A69:S69"/>
    <mergeCell ref="A70:S70"/>
    <mergeCell ref="A62:S62"/>
    <mergeCell ref="A63:S63"/>
    <mergeCell ref="A64:S64"/>
    <mergeCell ref="A65:S65"/>
    <mergeCell ref="A66:S66"/>
    <mergeCell ref="A61:S61"/>
    <mergeCell ref="A3:S3"/>
    <mergeCell ref="A4:S4"/>
    <mergeCell ref="A5:S5"/>
    <mergeCell ref="A6:S6"/>
    <mergeCell ref="A8:I8"/>
    <mergeCell ref="L8:S8"/>
    <mergeCell ref="A58:S58"/>
    <mergeCell ref="A59:S59"/>
    <mergeCell ref="A60:S60"/>
  </mergeCells>
  <pageMargins left="0.70866141732283472" right="0.70866141732283472" top="0.74803149606299213" bottom="0.74803149606299213" header="0.31496062992125984" footer="0.31496062992125984"/>
  <pageSetup paperSize="8" scale="88" orientation="portrait" cellComments="asDisplayed" r:id="rId1"/>
  <rowBreaks count="1" manualBreakCount="1">
    <brk id="56" max="19" man="1"/>
  </rowBreaks>
  <colBreaks count="1" manualBreakCount="1">
    <brk id="19"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K94"/>
  <sheetViews>
    <sheetView view="pageBreakPreview" topLeftCell="A60" zoomScaleNormal="100" zoomScaleSheetLayoutView="100" workbookViewId="0">
      <selection activeCell="A77" sqref="A77:AK77"/>
    </sheetView>
  </sheetViews>
  <sheetFormatPr defaultRowHeight="15" outlineLevelRow="1" x14ac:dyDescent="0.25"/>
  <cols>
    <col min="1" max="1" width="2.85546875" customWidth="1"/>
    <col min="2" max="2" width="7.42578125" customWidth="1"/>
    <col min="3" max="4" width="8.5703125" customWidth="1"/>
    <col min="5" max="5" width="8.28515625" customWidth="1"/>
    <col min="6" max="6" width="7.42578125" customWidth="1"/>
    <col min="7" max="7" width="8.140625" customWidth="1"/>
    <col min="8" max="8" width="9" customWidth="1"/>
    <col min="9" max="9" width="2" customWidth="1"/>
    <col min="10" max="10" width="2.85546875" customWidth="1"/>
    <col min="11" max="13" width="8.7109375" customWidth="1"/>
    <col min="14" max="14" width="10.42578125" customWidth="1"/>
    <col min="15" max="15" width="1.42578125" customWidth="1"/>
    <col min="16" max="16" width="3.7109375" style="1" customWidth="1"/>
    <col min="17" max="17" width="9.7109375" style="1" bestFit="1" customWidth="1"/>
    <col min="18" max="18" width="3.28515625" customWidth="1"/>
    <col min="19" max="19" width="9.42578125" customWidth="1"/>
    <col min="20" max="20" width="5.85546875" customWidth="1"/>
    <col min="21" max="21" width="3.28515625" customWidth="1"/>
    <col min="22" max="22" width="25.7109375" customWidth="1"/>
    <col min="23" max="23" width="8.42578125" customWidth="1"/>
    <col min="24" max="24" width="1.42578125" customWidth="1"/>
    <col min="25" max="25" width="3.28515625" customWidth="1"/>
    <col min="26" max="26" width="8.85546875" customWidth="1"/>
    <col min="27" max="27" width="5.85546875" customWidth="1"/>
    <col min="28" max="28" width="3.28515625" customWidth="1"/>
    <col min="29" max="29" width="25.7109375" customWidth="1"/>
    <col min="30" max="30" width="8.42578125" customWidth="1"/>
    <col min="31" max="31" width="1.42578125" customWidth="1"/>
    <col min="32" max="32" width="3.28515625" customWidth="1"/>
    <col min="33" max="33" width="11" customWidth="1"/>
    <col min="34" max="34" width="5.85546875" customWidth="1"/>
    <col min="35" max="35" width="3.28515625" customWidth="1"/>
    <col min="36" max="36" width="25.7109375" customWidth="1"/>
    <col min="37" max="37" width="8.42578125" customWidth="1"/>
  </cols>
  <sheetData>
    <row r="1" spans="1:37" x14ac:dyDescent="0.25">
      <c r="A1" s="1" t="s">
        <v>129</v>
      </c>
      <c r="F1" s="22">
        <v>2.5000000000000001E-3</v>
      </c>
      <c r="AG1" s="1" t="s">
        <v>234</v>
      </c>
    </row>
    <row r="2" spans="1:37" ht="5.25" customHeight="1" thickBot="1" x14ac:dyDescent="0.3"/>
    <row r="3" spans="1:37" ht="15.75" outlineLevel="1" x14ac:dyDescent="0.25">
      <c r="A3" s="340" t="s">
        <v>86</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2"/>
    </row>
    <row r="4" spans="1:37" outlineLevel="1" x14ac:dyDescent="0.25">
      <c r="A4" s="343" t="s">
        <v>310</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5"/>
    </row>
    <row r="5" spans="1:37" ht="7.5" customHeight="1" outlineLevel="1" x14ac:dyDescent="0.25">
      <c r="A5" s="343"/>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5"/>
    </row>
    <row r="6" spans="1:37" ht="15.75" outlineLevel="1" x14ac:dyDescent="0.25">
      <c r="A6" s="346" t="s">
        <v>88</v>
      </c>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8"/>
    </row>
    <row r="7" spans="1:37" ht="30.75" customHeight="1" outlineLevel="1" x14ac:dyDescent="0.25">
      <c r="A7" s="349" t="s">
        <v>343</v>
      </c>
      <c r="B7" s="344"/>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5"/>
    </row>
    <row r="8" spans="1:37" ht="7.5" customHeight="1" outlineLevel="1" thickBot="1" x14ac:dyDescent="0.3">
      <c r="A8" s="353"/>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5"/>
    </row>
    <row r="9" spans="1:37" ht="14.25" customHeight="1" thickBot="1" x14ac:dyDescent="0.3">
      <c r="A9" s="20"/>
    </row>
    <row r="10" spans="1:37" ht="15.75" customHeight="1" thickBot="1" x14ac:dyDescent="0.3">
      <c r="A10" s="76"/>
      <c r="B10" s="77"/>
      <c r="C10" s="285" t="s">
        <v>86</v>
      </c>
      <c r="D10" s="285"/>
      <c r="E10" s="285"/>
      <c r="F10" s="285"/>
      <c r="G10" s="285"/>
      <c r="H10" s="286"/>
      <c r="J10" s="284" t="s">
        <v>103</v>
      </c>
      <c r="K10" s="285"/>
      <c r="L10" s="285"/>
      <c r="M10" s="285"/>
      <c r="N10" s="286"/>
      <c r="P10" s="302" t="s">
        <v>248</v>
      </c>
      <c r="Q10" s="303"/>
      <c r="R10" s="303"/>
      <c r="S10" s="303"/>
      <c r="T10" s="303"/>
      <c r="U10" s="303"/>
      <c r="V10" s="303"/>
      <c r="W10" s="304"/>
      <c r="X10" s="28"/>
      <c r="Y10" s="356" t="s">
        <v>249</v>
      </c>
      <c r="Z10" s="324"/>
      <c r="AA10" s="324"/>
      <c r="AB10" s="324"/>
      <c r="AC10" s="324"/>
      <c r="AD10" s="357"/>
      <c r="AE10" s="28"/>
      <c r="AF10" s="358" t="s">
        <v>250</v>
      </c>
      <c r="AG10" s="325"/>
      <c r="AH10" s="325"/>
      <c r="AI10" s="325"/>
      <c r="AJ10" s="325"/>
      <c r="AK10" s="326"/>
    </row>
    <row r="11" spans="1:37" s="1" customFormat="1" ht="45" customHeight="1" thickBot="1" x14ac:dyDescent="0.3">
      <c r="A11" s="24" t="s">
        <v>99</v>
      </c>
      <c r="B11" s="25" t="s">
        <v>98</v>
      </c>
      <c r="C11" s="26" t="s">
        <v>92</v>
      </c>
      <c r="D11" s="26" t="s">
        <v>93</v>
      </c>
      <c r="E11" s="26" t="s">
        <v>97</v>
      </c>
      <c r="F11" s="26" t="s">
        <v>96</v>
      </c>
      <c r="G11" s="26" t="s">
        <v>95</v>
      </c>
      <c r="H11" s="27" t="s">
        <v>104</v>
      </c>
      <c r="I11" s="83"/>
      <c r="J11" s="24"/>
      <c r="K11" s="26" t="s">
        <v>100</v>
      </c>
      <c r="L11" s="26" t="s">
        <v>101</v>
      </c>
      <c r="M11" s="26" t="s">
        <v>102</v>
      </c>
      <c r="N11" s="27" t="s">
        <v>30</v>
      </c>
      <c r="P11" s="60"/>
      <c r="Q11" s="61" t="s">
        <v>172</v>
      </c>
      <c r="R11" s="40"/>
      <c r="S11" s="61" t="s">
        <v>168</v>
      </c>
      <c r="T11" s="61" t="s">
        <v>169</v>
      </c>
      <c r="U11" s="61" t="s">
        <v>152</v>
      </c>
      <c r="V11" s="61" t="s">
        <v>170</v>
      </c>
      <c r="W11" s="85" t="s">
        <v>171</v>
      </c>
      <c r="X11" s="84"/>
      <c r="Y11" s="87"/>
      <c r="Z11" s="86" t="s">
        <v>168</v>
      </c>
      <c r="AA11" s="86" t="s">
        <v>169</v>
      </c>
      <c r="AB11" s="86" t="s">
        <v>152</v>
      </c>
      <c r="AC11" s="86" t="s">
        <v>170</v>
      </c>
      <c r="AD11" s="88" t="s">
        <v>171</v>
      </c>
      <c r="AE11" s="96"/>
      <c r="AF11" s="99"/>
      <c r="AG11" s="97" t="s">
        <v>168</v>
      </c>
      <c r="AH11" s="97" t="s">
        <v>169</v>
      </c>
      <c r="AI11" s="97" t="s">
        <v>152</v>
      </c>
      <c r="AJ11" s="97" t="s">
        <v>170</v>
      </c>
      <c r="AK11" s="98" t="s">
        <v>171</v>
      </c>
    </row>
    <row r="12" spans="1:37" x14ac:dyDescent="0.25">
      <c r="A12" s="28"/>
      <c r="B12" s="29"/>
      <c r="C12" s="29"/>
      <c r="D12" s="29"/>
      <c r="E12" s="29"/>
      <c r="F12" s="30">
        <f>+D74</f>
        <v>232464.53575425968</v>
      </c>
      <c r="G12" s="29"/>
      <c r="H12" s="34">
        <f>+D74</f>
        <v>232464.53575425968</v>
      </c>
      <c r="I12" s="29"/>
      <c r="J12" s="28"/>
      <c r="K12" s="31"/>
      <c r="L12" s="31"/>
      <c r="M12" s="31"/>
      <c r="N12" s="32"/>
      <c r="P12" s="124" t="s">
        <v>109</v>
      </c>
      <c r="Q12" s="126">
        <v>44013</v>
      </c>
      <c r="R12" s="51" t="s">
        <v>0</v>
      </c>
      <c r="S12" s="51">
        <v>5311002</v>
      </c>
      <c r="T12" s="51">
        <v>7321</v>
      </c>
      <c r="U12" s="51"/>
      <c r="V12" s="51" t="s">
        <v>146</v>
      </c>
      <c r="W12" s="69">
        <f>+F12</f>
        <v>232464.53575425968</v>
      </c>
      <c r="X12" s="28"/>
      <c r="Y12" s="89"/>
      <c r="Z12" s="54"/>
      <c r="AA12" s="54"/>
      <c r="AB12" s="54"/>
      <c r="AC12" s="54"/>
      <c r="AD12" s="90"/>
      <c r="AE12" s="28"/>
      <c r="AF12" s="100"/>
      <c r="AG12" s="55"/>
      <c r="AH12" s="55"/>
      <c r="AI12" s="55"/>
      <c r="AJ12" s="55"/>
      <c r="AK12" s="56"/>
    </row>
    <row r="13" spans="1:37" x14ac:dyDescent="0.25">
      <c r="A13" s="28">
        <v>0</v>
      </c>
      <c r="B13" s="33">
        <v>44013</v>
      </c>
      <c r="C13" s="31">
        <f t="shared" ref="C13:C66" si="0">50000/12</f>
        <v>4166.666666666667</v>
      </c>
      <c r="D13" s="31">
        <f>+C13/(1+F$1)^A13</f>
        <v>4166.666666666667</v>
      </c>
      <c r="E13" s="31">
        <f>+F$12/60</f>
        <v>3874.4089292376611</v>
      </c>
      <c r="F13" s="31">
        <f t="shared" ref="F13:F24" si="1">+F12-E13</f>
        <v>228590.12682502202</v>
      </c>
      <c r="G13" s="31">
        <f>+(H12-C13)*F$1</f>
        <v>570.74467271898254</v>
      </c>
      <c r="H13" s="32">
        <f t="shared" ref="H13:H24" si="2">+H12-C13+G13</f>
        <v>228868.613760312</v>
      </c>
      <c r="I13" s="29"/>
      <c r="J13" s="28"/>
      <c r="K13" s="31"/>
      <c r="L13" s="31"/>
      <c r="M13" s="31"/>
      <c r="N13" s="32"/>
      <c r="P13" s="115"/>
      <c r="Q13" s="116"/>
      <c r="R13" s="40" t="s">
        <v>1</v>
      </c>
      <c r="S13" s="40">
        <v>3240102</v>
      </c>
      <c r="T13" s="40"/>
      <c r="U13" s="40"/>
      <c r="V13" s="40" t="s">
        <v>270</v>
      </c>
      <c r="W13" s="70">
        <f>H12</f>
        <v>232464.53575425968</v>
      </c>
      <c r="X13" s="28"/>
      <c r="Y13" s="87"/>
      <c r="Z13" s="42"/>
      <c r="AA13" s="42"/>
      <c r="AB13" s="42"/>
      <c r="AC13" s="42"/>
      <c r="AD13" s="91"/>
      <c r="AE13" s="28"/>
      <c r="AF13" s="101"/>
      <c r="AG13" s="43"/>
      <c r="AH13" s="43"/>
      <c r="AI13" s="43"/>
      <c r="AJ13" s="43"/>
      <c r="AK13" s="44"/>
    </row>
    <row r="14" spans="1:37" x14ac:dyDescent="0.25">
      <c r="A14" s="28">
        <v>1</v>
      </c>
      <c r="B14" s="33">
        <v>44044</v>
      </c>
      <c r="C14" s="31">
        <f t="shared" si="0"/>
        <v>4166.666666666667</v>
      </c>
      <c r="D14" s="31">
        <f t="shared" ref="D14:D23" si="3">+C14/(1+F$1)^A14</f>
        <v>4156.2759767248554</v>
      </c>
      <c r="E14" s="31">
        <f t="shared" ref="E14:E73" si="4">+F$12/60</f>
        <v>3874.4089292376611</v>
      </c>
      <c r="F14" s="31">
        <f t="shared" si="1"/>
        <v>224715.71789578436</v>
      </c>
      <c r="G14" s="31">
        <f t="shared" ref="G14:G24" si="5">+(H13-C14)*F$1</f>
        <v>561.75486773411342</v>
      </c>
      <c r="H14" s="32">
        <f t="shared" si="2"/>
        <v>225263.70196137947</v>
      </c>
      <c r="I14" s="29"/>
      <c r="J14" s="28"/>
      <c r="K14" s="31"/>
      <c r="L14" s="31"/>
      <c r="M14" s="31"/>
      <c r="N14" s="32"/>
      <c r="P14" s="115" t="s">
        <v>186</v>
      </c>
      <c r="Q14" s="116"/>
      <c r="R14" s="116"/>
      <c r="S14" s="40"/>
      <c r="T14" s="40"/>
      <c r="U14" s="40"/>
      <c r="V14" s="40"/>
      <c r="W14" s="81"/>
      <c r="X14" s="28"/>
      <c r="Y14" s="87"/>
      <c r="Z14" s="42"/>
      <c r="AA14" s="42"/>
      <c r="AB14" s="42"/>
      <c r="AC14" s="42"/>
      <c r="AD14" s="91"/>
      <c r="AE14" s="28"/>
      <c r="AF14" s="101"/>
      <c r="AG14" s="43"/>
      <c r="AH14" s="43"/>
      <c r="AI14" s="43"/>
      <c r="AJ14" s="43"/>
      <c r="AK14" s="44"/>
    </row>
    <row r="15" spans="1:37" x14ac:dyDescent="0.25">
      <c r="A15" s="28">
        <v>2</v>
      </c>
      <c r="B15" s="33">
        <v>44075</v>
      </c>
      <c r="C15" s="31">
        <f t="shared" si="0"/>
        <v>4166.666666666667</v>
      </c>
      <c r="D15" s="31">
        <f t="shared" si="3"/>
        <v>4145.9111987280348</v>
      </c>
      <c r="E15" s="31">
        <f t="shared" si="4"/>
        <v>3874.4089292376611</v>
      </c>
      <c r="F15" s="31">
        <f t="shared" si="1"/>
        <v>220841.3089665467</v>
      </c>
      <c r="G15" s="31">
        <f t="shared" si="5"/>
        <v>552.74258823678201</v>
      </c>
      <c r="H15" s="32">
        <f t="shared" si="2"/>
        <v>221649.77788294959</v>
      </c>
      <c r="I15" s="29"/>
      <c r="J15" s="28"/>
      <c r="K15" s="31"/>
      <c r="L15" s="31"/>
      <c r="M15" s="31"/>
      <c r="N15" s="32"/>
      <c r="P15" s="115"/>
      <c r="Q15" s="116"/>
      <c r="R15" s="116"/>
      <c r="S15" s="40"/>
      <c r="T15" s="40"/>
      <c r="U15" s="40"/>
      <c r="V15" s="40"/>
      <c r="W15" s="81"/>
      <c r="X15" s="28"/>
      <c r="Y15" s="87"/>
      <c r="Z15" s="42"/>
      <c r="AA15" s="42"/>
      <c r="AB15" s="42"/>
      <c r="AC15" s="42"/>
      <c r="AD15" s="91"/>
      <c r="AE15" s="28"/>
      <c r="AF15" s="101"/>
      <c r="AG15" s="43"/>
      <c r="AH15" s="43"/>
      <c r="AI15" s="43"/>
      <c r="AJ15" s="43"/>
      <c r="AK15" s="44"/>
    </row>
    <row r="16" spans="1:37" x14ac:dyDescent="0.25">
      <c r="A16" s="28">
        <v>3</v>
      </c>
      <c r="B16" s="33">
        <v>44105</v>
      </c>
      <c r="C16" s="31">
        <f t="shared" si="0"/>
        <v>4166.666666666667</v>
      </c>
      <c r="D16" s="31">
        <f t="shared" si="3"/>
        <v>4135.5722680578911</v>
      </c>
      <c r="E16" s="31">
        <f t="shared" si="4"/>
        <v>3874.4089292376611</v>
      </c>
      <c r="F16" s="31">
        <f t="shared" si="1"/>
        <v>216966.90003730904</v>
      </c>
      <c r="G16" s="31">
        <f t="shared" si="5"/>
        <v>543.70777804070735</v>
      </c>
      <c r="H16" s="32">
        <f t="shared" si="2"/>
        <v>218026.81899432364</v>
      </c>
      <c r="I16" s="29"/>
      <c r="J16" s="28"/>
      <c r="K16" s="31"/>
      <c r="L16" s="31"/>
      <c r="M16" s="31"/>
      <c r="N16" s="32"/>
      <c r="P16" s="115" t="s">
        <v>110</v>
      </c>
      <c r="Q16" s="116" t="s">
        <v>106</v>
      </c>
      <c r="R16" s="116" t="s">
        <v>0</v>
      </c>
      <c r="S16" s="40">
        <v>2241002</v>
      </c>
      <c r="T16" s="40"/>
      <c r="U16" s="40"/>
      <c r="V16" s="40" t="s">
        <v>251</v>
      </c>
      <c r="W16" s="70">
        <f>SUM(E13:E24)</f>
        <v>46492.907150851919</v>
      </c>
      <c r="X16" s="28"/>
      <c r="Y16" s="87"/>
      <c r="Z16" s="42"/>
      <c r="AA16" s="42"/>
      <c r="AB16" s="42"/>
      <c r="AC16" s="42"/>
      <c r="AD16" s="91"/>
      <c r="AE16" s="28"/>
      <c r="AF16" s="101"/>
      <c r="AG16" s="43"/>
      <c r="AH16" s="43"/>
      <c r="AI16" s="43"/>
      <c r="AJ16" s="43"/>
      <c r="AK16" s="44"/>
    </row>
    <row r="17" spans="1:37" x14ac:dyDescent="0.25">
      <c r="A17" s="28">
        <v>4</v>
      </c>
      <c r="B17" s="33">
        <v>44136</v>
      </c>
      <c r="C17" s="31">
        <f t="shared" si="0"/>
        <v>4166.666666666667</v>
      </c>
      <c r="D17" s="31">
        <f t="shared" si="3"/>
        <v>4125.2591202572476</v>
      </c>
      <c r="E17" s="31">
        <f t="shared" si="4"/>
        <v>3874.4089292376611</v>
      </c>
      <c r="F17" s="31">
        <f t="shared" si="1"/>
        <v>213092.49110807138</v>
      </c>
      <c r="G17" s="31">
        <f t="shared" si="5"/>
        <v>534.65038081914247</v>
      </c>
      <c r="H17" s="32">
        <f t="shared" si="2"/>
        <v>214394.80270847611</v>
      </c>
      <c r="I17" s="29"/>
      <c r="J17" s="28"/>
      <c r="K17" s="31"/>
      <c r="L17" s="31"/>
      <c r="M17" s="31"/>
      <c r="N17" s="32"/>
      <c r="P17" s="115"/>
      <c r="Q17" s="116"/>
      <c r="R17" s="116" t="s">
        <v>1</v>
      </c>
      <c r="S17" s="40">
        <v>5311002</v>
      </c>
      <c r="T17" s="40">
        <v>7353</v>
      </c>
      <c r="U17" s="40"/>
      <c r="V17" s="40" t="s">
        <v>105</v>
      </c>
      <c r="W17" s="70">
        <f>W16</f>
        <v>46492.907150851919</v>
      </c>
      <c r="X17" s="28"/>
      <c r="Y17" s="87"/>
      <c r="Z17" s="42"/>
      <c r="AA17" s="42"/>
      <c r="AB17" s="42"/>
      <c r="AC17" s="42"/>
      <c r="AD17" s="91"/>
      <c r="AE17" s="28"/>
      <c r="AF17" s="101"/>
      <c r="AG17" s="43"/>
      <c r="AH17" s="43"/>
      <c r="AI17" s="43"/>
      <c r="AJ17" s="43"/>
      <c r="AK17" s="44"/>
    </row>
    <row r="18" spans="1:37" x14ac:dyDescent="0.25">
      <c r="A18" s="28">
        <v>5</v>
      </c>
      <c r="B18" s="33">
        <v>44166</v>
      </c>
      <c r="C18" s="31">
        <f t="shared" si="0"/>
        <v>4166.666666666667</v>
      </c>
      <c r="D18" s="31">
        <f t="shared" si="3"/>
        <v>4114.9716910296738</v>
      </c>
      <c r="E18" s="31">
        <f t="shared" si="4"/>
        <v>3874.4089292376611</v>
      </c>
      <c r="F18" s="31">
        <f t="shared" si="1"/>
        <v>209218.08217883372</v>
      </c>
      <c r="G18" s="31">
        <f t="shared" si="5"/>
        <v>525.57034010452367</v>
      </c>
      <c r="H18" s="32">
        <f t="shared" si="2"/>
        <v>210753.70638191397</v>
      </c>
      <c r="I18" s="29"/>
      <c r="J18" s="28"/>
      <c r="K18" s="31"/>
      <c r="L18" s="31"/>
      <c r="M18" s="31"/>
      <c r="N18" s="32"/>
      <c r="P18" s="115" t="s">
        <v>188</v>
      </c>
      <c r="Q18" s="116"/>
      <c r="R18" s="116"/>
      <c r="S18" s="40"/>
      <c r="T18" s="40"/>
      <c r="U18" s="40"/>
      <c r="V18" s="40"/>
      <c r="W18" s="81"/>
      <c r="X18" s="28"/>
      <c r="Y18" s="87"/>
      <c r="Z18" s="42"/>
      <c r="AA18" s="42"/>
      <c r="AB18" s="42"/>
      <c r="AC18" s="42"/>
      <c r="AD18" s="91"/>
      <c r="AE18" s="28"/>
      <c r="AF18" s="101"/>
      <c r="AG18" s="43"/>
      <c r="AH18" s="43"/>
      <c r="AI18" s="43"/>
      <c r="AJ18" s="43"/>
      <c r="AK18" s="44"/>
    </row>
    <row r="19" spans="1:37" x14ac:dyDescent="0.25">
      <c r="A19" s="28">
        <v>6</v>
      </c>
      <c r="B19" s="33">
        <v>44197</v>
      </c>
      <c r="C19" s="31">
        <f t="shared" si="0"/>
        <v>4166.666666666667</v>
      </c>
      <c r="D19" s="31">
        <f t="shared" si="3"/>
        <v>4104.7099162390768</v>
      </c>
      <c r="E19" s="31">
        <f t="shared" si="4"/>
        <v>3874.4089292376611</v>
      </c>
      <c r="F19" s="31">
        <f t="shared" si="1"/>
        <v>205343.67324959606</v>
      </c>
      <c r="G19" s="31">
        <f t="shared" si="5"/>
        <v>516.46759928811832</v>
      </c>
      <c r="H19" s="32">
        <f t="shared" si="2"/>
        <v>207103.50731453544</v>
      </c>
      <c r="I19" s="29"/>
      <c r="J19" s="28"/>
      <c r="K19" s="31"/>
      <c r="L19" s="31"/>
      <c r="M19" s="31"/>
      <c r="N19" s="32"/>
      <c r="P19" s="115"/>
      <c r="Q19" s="116"/>
      <c r="R19" s="116"/>
      <c r="S19" s="40"/>
      <c r="T19" s="40"/>
      <c r="U19" s="40"/>
      <c r="V19" s="40"/>
      <c r="W19" s="81"/>
      <c r="X19" s="28"/>
      <c r="Y19" s="87"/>
      <c r="Z19" s="42"/>
      <c r="AA19" s="42"/>
      <c r="AB19" s="42"/>
      <c r="AC19" s="42"/>
      <c r="AD19" s="91"/>
      <c r="AE19" s="28"/>
      <c r="AF19" s="101"/>
      <c r="AG19" s="43"/>
      <c r="AH19" s="43"/>
      <c r="AI19" s="43"/>
      <c r="AJ19" s="43"/>
      <c r="AK19" s="44"/>
    </row>
    <row r="20" spans="1:37" x14ac:dyDescent="0.25">
      <c r="A20" s="28">
        <v>7</v>
      </c>
      <c r="B20" s="33">
        <v>44228</v>
      </c>
      <c r="C20" s="31">
        <f t="shared" si="0"/>
        <v>4166.666666666667</v>
      </c>
      <c r="D20" s="31">
        <f t="shared" si="3"/>
        <v>4094.4737319093038</v>
      </c>
      <c r="E20" s="31">
        <f t="shared" si="4"/>
        <v>3874.4089292376611</v>
      </c>
      <c r="F20" s="31">
        <f t="shared" si="1"/>
        <v>201469.2643203584</v>
      </c>
      <c r="G20" s="31">
        <f t="shared" si="5"/>
        <v>507.34210161967195</v>
      </c>
      <c r="H20" s="32">
        <f t="shared" si="2"/>
        <v>203444.18274948845</v>
      </c>
      <c r="I20" s="29"/>
      <c r="J20" s="28"/>
      <c r="K20" s="31"/>
      <c r="L20" s="31"/>
      <c r="M20" s="31"/>
      <c r="N20" s="32"/>
      <c r="P20" s="115" t="s">
        <v>111</v>
      </c>
      <c r="Q20" s="116" t="s">
        <v>106</v>
      </c>
      <c r="R20" s="116" t="s">
        <v>0</v>
      </c>
      <c r="S20" s="40">
        <v>3240106</v>
      </c>
      <c r="T20" s="40"/>
      <c r="U20" s="40"/>
      <c r="V20" s="40" t="s">
        <v>271</v>
      </c>
      <c r="W20" s="70">
        <f>W22-W21</f>
        <v>43749.363372898428</v>
      </c>
      <c r="X20" s="28"/>
      <c r="Y20" s="87"/>
      <c r="Z20" s="42"/>
      <c r="AA20" s="42"/>
      <c r="AB20" s="42"/>
      <c r="AC20" s="42"/>
      <c r="AD20" s="91"/>
      <c r="AE20" s="28"/>
      <c r="AF20" s="101"/>
      <c r="AG20" s="43"/>
      <c r="AH20" s="43"/>
      <c r="AI20" s="43"/>
      <c r="AJ20" s="43"/>
      <c r="AK20" s="44"/>
    </row>
    <row r="21" spans="1:37" x14ac:dyDescent="0.25">
      <c r="A21" s="28">
        <v>8</v>
      </c>
      <c r="B21" s="33">
        <v>44256</v>
      </c>
      <c r="C21" s="31">
        <f t="shared" si="0"/>
        <v>4166.666666666667</v>
      </c>
      <c r="D21" s="31">
        <f t="shared" si="3"/>
        <v>4084.2630742237438</v>
      </c>
      <c r="E21" s="31">
        <f t="shared" si="4"/>
        <v>3874.4089292376611</v>
      </c>
      <c r="F21" s="31">
        <f t="shared" si="1"/>
        <v>197594.85539112074</v>
      </c>
      <c r="G21" s="31">
        <f t="shared" si="5"/>
        <v>498.19379020705452</v>
      </c>
      <c r="H21" s="32">
        <f t="shared" si="2"/>
        <v>199775.70987302886</v>
      </c>
      <c r="I21" s="29"/>
      <c r="J21" s="28"/>
      <c r="K21" s="31"/>
      <c r="L21" s="31"/>
      <c r="M21" s="31"/>
      <c r="N21" s="32"/>
      <c r="P21" s="115"/>
      <c r="Q21" s="116"/>
      <c r="R21" s="116" t="s">
        <v>0</v>
      </c>
      <c r="S21" s="40">
        <v>2422020</v>
      </c>
      <c r="T21" s="40"/>
      <c r="U21" s="40"/>
      <c r="V21" s="40" t="s">
        <v>161</v>
      </c>
      <c r="W21" s="70">
        <f>SUM(G13:G24)</f>
        <v>6250.6366271015659</v>
      </c>
      <c r="X21" s="28"/>
      <c r="Y21" s="87"/>
      <c r="Z21" s="42"/>
      <c r="AA21" s="42"/>
      <c r="AB21" s="42"/>
      <c r="AC21" s="42"/>
      <c r="AD21" s="91"/>
      <c r="AE21" s="28"/>
      <c r="AF21" s="101"/>
      <c r="AG21" s="43"/>
      <c r="AH21" s="43"/>
      <c r="AI21" s="43"/>
      <c r="AJ21" s="43"/>
      <c r="AK21" s="44"/>
    </row>
    <row r="22" spans="1:37" x14ac:dyDescent="0.25">
      <c r="A22" s="28">
        <v>9</v>
      </c>
      <c r="B22" s="33">
        <v>44287</v>
      </c>
      <c r="C22" s="31">
        <f t="shared" si="0"/>
        <v>4166.666666666667</v>
      </c>
      <c r="D22" s="31">
        <f t="shared" si="3"/>
        <v>4074.0778795249316</v>
      </c>
      <c r="E22" s="31">
        <f t="shared" si="4"/>
        <v>3874.4089292376611</v>
      </c>
      <c r="F22" s="31">
        <f t="shared" si="1"/>
        <v>193720.44646188308</v>
      </c>
      <c r="G22" s="31">
        <f t="shared" si="5"/>
        <v>489.02260801590552</v>
      </c>
      <c r="H22" s="32">
        <f t="shared" si="2"/>
        <v>196098.06581437812</v>
      </c>
      <c r="I22" s="29"/>
      <c r="J22" s="28"/>
      <c r="K22" s="31"/>
      <c r="L22" s="31"/>
      <c r="M22" s="31"/>
      <c r="N22" s="32"/>
      <c r="P22" s="115"/>
      <c r="Q22" s="116"/>
      <c r="R22" s="116" t="s">
        <v>1</v>
      </c>
      <c r="S22" s="40"/>
      <c r="T22" s="40"/>
      <c r="U22" s="40"/>
      <c r="V22" s="40" t="s">
        <v>31</v>
      </c>
      <c r="W22" s="70">
        <f>SUM(C13:C24)</f>
        <v>49999.999999999993</v>
      </c>
      <c r="X22" s="28"/>
      <c r="Y22" s="87"/>
      <c r="Z22" s="42"/>
      <c r="AA22" s="42"/>
      <c r="AB22" s="42"/>
      <c r="AC22" s="42"/>
      <c r="AD22" s="91"/>
      <c r="AE22" s="28"/>
      <c r="AF22" s="101"/>
      <c r="AG22" s="43"/>
      <c r="AH22" s="43"/>
      <c r="AI22" s="43"/>
      <c r="AJ22" s="43"/>
      <c r="AK22" s="44"/>
    </row>
    <row r="23" spans="1:37" x14ac:dyDescent="0.25">
      <c r="A23" s="28">
        <v>10</v>
      </c>
      <c r="B23" s="33">
        <v>44317</v>
      </c>
      <c r="C23" s="31">
        <f t="shared" si="0"/>
        <v>4166.666666666667</v>
      </c>
      <c r="D23" s="31">
        <f t="shared" si="3"/>
        <v>4063.9180843141467</v>
      </c>
      <c r="E23" s="31">
        <f t="shared" si="4"/>
        <v>3874.4089292376611</v>
      </c>
      <c r="F23" s="31">
        <f t="shared" si="1"/>
        <v>189846.03753264542</v>
      </c>
      <c r="G23" s="31">
        <f t="shared" si="5"/>
        <v>479.82849786927864</v>
      </c>
      <c r="H23" s="32">
        <f t="shared" si="2"/>
        <v>192411.22764558074</v>
      </c>
      <c r="I23" s="29"/>
      <c r="J23" s="28"/>
      <c r="K23" s="31"/>
      <c r="L23" s="31"/>
      <c r="M23" s="31"/>
      <c r="N23" s="32"/>
      <c r="P23" s="115" t="s">
        <v>132</v>
      </c>
      <c r="Q23" s="116"/>
      <c r="R23" s="116"/>
      <c r="S23" s="40"/>
      <c r="T23" s="40"/>
      <c r="U23" s="40"/>
      <c r="V23" s="40"/>
      <c r="W23" s="81"/>
      <c r="X23" s="28"/>
      <c r="Y23" s="87"/>
      <c r="Z23" s="42"/>
      <c r="AA23" s="42"/>
      <c r="AB23" s="42"/>
      <c r="AC23" s="42"/>
      <c r="AD23" s="91"/>
      <c r="AE23" s="28"/>
      <c r="AF23" s="101"/>
      <c r="AG23" s="43"/>
      <c r="AH23" s="43"/>
      <c r="AI23" s="43"/>
      <c r="AJ23" s="43"/>
      <c r="AK23" s="44"/>
    </row>
    <row r="24" spans="1:37" ht="15.75" thickBot="1" x14ac:dyDescent="0.3">
      <c r="A24" s="28">
        <v>11</v>
      </c>
      <c r="B24" s="33">
        <v>44348</v>
      </c>
      <c r="C24" s="31">
        <f t="shared" si="0"/>
        <v>4166.666666666667</v>
      </c>
      <c r="D24" s="31">
        <f>+C24/(1+F$1)^A24</f>
        <v>4053.7836252510201</v>
      </c>
      <c r="E24" s="31">
        <f t="shared" si="4"/>
        <v>3874.4089292376611</v>
      </c>
      <c r="F24" s="30">
        <f t="shared" si="1"/>
        <v>185971.62860340776</v>
      </c>
      <c r="G24" s="31">
        <f t="shared" si="5"/>
        <v>470.61140244728523</v>
      </c>
      <c r="H24" s="32">
        <f t="shared" si="2"/>
        <v>188715.17238136136</v>
      </c>
      <c r="I24" s="29"/>
      <c r="J24" s="28"/>
      <c r="K24" s="31"/>
      <c r="L24" s="31"/>
      <c r="M24" s="31"/>
      <c r="N24" s="32"/>
      <c r="P24" s="115"/>
      <c r="Q24" s="116"/>
      <c r="R24" s="116"/>
      <c r="S24" s="40"/>
      <c r="T24" s="40"/>
      <c r="U24" s="40"/>
      <c r="V24" s="40"/>
      <c r="W24" s="81"/>
      <c r="X24" s="28"/>
      <c r="Y24" s="87"/>
      <c r="Z24" s="42"/>
      <c r="AA24" s="42"/>
      <c r="AB24" s="42"/>
      <c r="AC24" s="42"/>
      <c r="AD24" s="91"/>
      <c r="AE24" s="28"/>
      <c r="AF24" s="101"/>
      <c r="AG24" s="43"/>
      <c r="AH24" s="43"/>
      <c r="AI24" s="43"/>
      <c r="AJ24" s="43"/>
      <c r="AK24" s="44"/>
    </row>
    <row r="25" spans="1:37" x14ac:dyDescent="0.25">
      <c r="A25" s="28"/>
      <c r="B25" s="33"/>
      <c r="C25" s="31"/>
      <c r="D25" s="31"/>
      <c r="E25" s="31"/>
      <c r="F25" s="31"/>
      <c r="G25" s="31"/>
      <c r="H25" s="32"/>
      <c r="I25" s="29"/>
      <c r="J25" s="28"/>
      <c r="K25" s="31"/>
      <c r="L25" s="31"/>
      <c r="M25" s="31"/>
      <c r="N25" s="34">
        <f>+L$62</f>
        <v>157998.64328283112</v>
      </c>
      <c r="P25" s="124" t="s">
        <v>112</v>
      </c>
      <c r="Q25" s="126">
        <v>44378</v>
      </c>
      <c r="R25" s="126" t="s">
        <v>0</v>
      </c>
      <c r="S25" s="51">
        <v>5233024</v>
      </c>
      <c r="T25" s="51"/>
      <c r="U25" s="51" t="s">
        <v>151</v>
      </c>
      <c r="V25" s="51" t="s">
        <v>162</v>
      </c>
      <c r="W25" s="69">
        <f>+N25</f>
        <v>157998.64328283112</v>
      </c>
      <c r="X25" s="28"/>
      <c r="Y25" s="89"/>
      <c r="Z25" s="54"/>
      <c r="AA25" s="54"/>
      <c r="AB25" s="54"/>
      <c r="AC25" s="54"/>
      <c r="AD25" s="90"/>
      <c r="AE25" s="28"/>
      <c r="AF25" s="100" t="s">
        <v>0</v>
      </c>
      <c r="AG25" s="55">
        <v>5311002</v>
      </c>
      <c r="AH25" s="55">
        <v>7321</v>
      </c>
      <c r="AI25" s="55" t="s">
        <v>152</v>
      </c>
      <c r="AJ25" s="55" t="s">
        <v>146</v>
      </c>
      <c r="AK25" s="58">
        <f>+N25</f>
        <v>157998.64328283112</v>
      </c>
    </row>
    <row r="26" spans="1:37" x14ac:dyDescent="0.25">
      <c r="A26" s="28">
        <v>12</v>
      </c>
      <c r="B26" s="33">
        <v>44378</v>
      </c>
      <c r="C26" s="31">
        <f t="shared" si="0"/>
        <v>4166.666666666667</v>
      </c>
      <c r="D26" s="31">
        <f>+C26/(1+F$1)^A26</f>
        <v>4043.6744391531365</v>
      </c>
      <c r="E26" s="31">
        <f t="shared" si="4"/>
        <v>3874.4089292376611</v>
      </c>
      <c r="F26" s="31">
        <f>+F24-E26</f>
        <v>182097.2196741701</v>
      </c>
      <c r="G26" s="31">
        <f>+(H24-C26)*F$1</f>
        <v>461.37126428673679</v>
      </c>
      <c r="H26" s="32">
        <f>+H24-C26+G26</f>
        <v>185009.87697898145</v>
      </c>
      <c r="I26" s="29"/>
      <c r="J26" s="28">
        <v>0</v>
      </c>
      <c r="K26" s="31">
        <f>55000/12</f>
        <v>4583.333333333333</v>
      </c>
      <c r="L26" s="31">
        <f>+K26/(1+F$1)^J26</f>
        <v>4583.333333333333</v>
      </c>
      <c r="M26" s="31">
        <f t="shared" ref="M26:M61" si="6">+(N25-K26)*F$1</f>
        <v>383.53827487374446</v>
      </c>
      <c r="N26" s="32">
        <f>+N25-K26+M26</f>
        <v>153798.84822437153</v>
      </c>
      <c r="P26" s="115"/>
      <c r="Q26" s="116"/>
      <c r="R26" s="116" t="s">
        <v>1</v>
      </c>
      <c r="S26" s="40">
        <v>5311002</v>
      </c>
      <c r="T26" s="40">
        <v>7340</v>
      </c>
      <c r="U26" s="40" t="s">
        <v>152</v>
      </c>
      <c r="V26" s="40" t="s">
        <v>146</v>
      </c>
      <c r="W26" s="70">
        <f>(F24-F61)+46493</f>
        <v>185971.72145255574</v>
      </c>
      <c r="X26" s="28"/>
      <c r="Y26" s="87"/>
      <c r="Z26" s="42"/>
      <c r="AA26" s="42"/>
      <c r="AB26" s="42"/>
      <c r="AC26" s="42"/>
      <c r="AD26" s="91"/>
      <c r="AE26" s="28"/>
      <c r="AF26" s="101" t="s">
        <v>1</v>
      </c>
      <c r="AG26" s="43">
        <v>3240102</v>
      </c>
      <c r="AH26" s="43"/>
      <c r="AI26" s="43" t="s">
        <v>152</v>
      </c>
      <c r="AJ26" s="43" t="s">
        <v>270</v>
      </c>
      <c r="AK26" s="45">
        <f>N25</f>
        <v>157998.64328283112</v>
      </c>
    </row>
    <row r="27" spans="1:37" x14ac:dyDescent="0.25">
      <c r="A27" s="28">
        <v>13</v>
      </c>
      <c r="B27" s="33">
        <v>44409</v>
      </c>
      <c r="C27" s="31">
        <f t="shared" si="0"/>
        <v>4166.666666666667</v>
      </c>
      <c r="D27" s="31">
        <f t="shared" ref="D27:D72" si="7">+C27/(1+F$1)^A27</f>
        <v>4033.5904629956472</v>
      </c>
      <c r="E27" s="31">
        <f t="shared" si="4"/>
        <v>3874.4089292376611</v>
      </c>
      <c r="F27" s="31">
        <f t="shared" ref="F27:F66" si="8">+F26-E27</f>
        <v>178222.81074493245</v>
      </c>
      <c r="G27" s="31">
        <f t="shared" ref="G27:G73" si="9">+(H26-C27)*F$1</f>
        <v>452.10802578078699</v>
      </c>
      <c r="H27" s="32">
        <f t="shared" ref="H27:H66" si="10">+H26-C27+G27</f>
        <v>181295.31833809559</v>
      </c>
      <c r="I27" s="29"/>
      <c r="J27" s="28">
        <v>1</v>
      </c>
      <c r="K27" s="31">
        <f t="shared" ref="K27:K61" si="11">55000/12</f>
        <v>4583.333333333333</v>
      </c>
      <c r="L27" s="31">
        <f t="shared" ref="L27:L60" si="12">+K27/(1+F$1)^J27</f>
        <v>4571.90357439734</v>
      </c>
      <c r="M27" s="31">
        <f t="shared" si="6"/>
        <v>373.03878722759549</v>
      </c>
      <c r="N27" s="32">
        <f t="shared" ref="N27:N61" si="13">+N26-K27+M27</f>
        <v>149588.55367826577</v>
      </c>
      <c r="P27" s="115"/>
      <c r="Q27" s="116"/>
      <c r="R27" s="116" t="s">
        <v>0</v>
      </c>
      <c r="S27" s="40">
        <v>5311002</v>
      </c>
      <c r="T27" s="239">
        <v>7367</v>
      </c>
      <c r="U27" s="239" t="s">
        <v>152</v>
      </c>
      <c r="V27" s="40" t="s">
        <v>414</v>
      </c>
      <c r="W27" s="70">
        <v>46493</v>
      </c>
      <c r="X27" s="28"/>
      <c r="Y27" s="87"/>
      <c r="Z27" s="42"/>
      <c r="AA27" s="42"/>
      <c r="AB27" s="42"/>
      <c r="AC27" s="46"/>
      <c r="AD27" s="91"/>
      <c r="AE27" s="28"/>
      <c r="AF27" s="101" t="s">
        <v>135</v>
      </c>
      <c r="AG27" s="43"/>
      <c r="AH27" s="43"/>
      <c r="AI27" s="43"/>
      <c r="AJ27" s="43"/>
      <c r="AK27" s="44"/>
    </row>
    <row r="28" spans="1:37" x14ac:dyDescent="0.25">
      <c r="A28" s="28">
        <v>14</v>
      </c>
      <c r="B28" s="33">
        <v>44440</v>
      </c>
      <c r="C28" s="31">
        <f t="shared" si="0"/>
        <v>4166.666666666667</v>
      </c>
      <c r="D28" s="31">
        <f t="shared" si="7"/>
        <v>4023.5316339108713</v>
      </c>
      <c r="E28" s="31">
        <f t="shared" si="4"/>
        <v>3874.4089292376611</v>
      </c>
      <c r="F28" s="31">
        <f t="shared" si="8"/>
        <v>174348.40181569479</v>
      </c>
      <c r="G28" s="31">
        <f t="shared" si="9"/>
        <v>442.82162917857232</v>
      </c>
      <c r="H28" s="32">
        <f t="shared" si="10"/>
        <v>177571.4733006075</v>
      </c>
      <c r="I28" s="29"/>
      <c r="J28" s="28">
        <v>2</v>
      </c>
      <c r="K28" s="31">
        <f t="shared" si="11"/>
        <v>4583.333333333333</v>
      </c>
      <c r="L28" s="31">
        <f t="shared" si="12"/>
        <v>4560.5023186008384</v>
      </c>
      <c r="M28" s="31">
        <f t="shared" si="6"/>
        <v>362.51305086233106</v>
      </c>
      <c r="N28" s="32">
        <f t="shared" si="13"/>
        <v>145367.73339579476</v>
      </c>
      <c r="P28" s="115"/>
      <c r="Q28" s="116"/>
      <c r="R28" s="116" t="s">
        <v>1</v>
      </c>
      <c r="S28" s="40">
        <v>1220016</v>
      </c>
      <c r="T28" s="40"/>
      <c r="U28" s="40" t="s">
        <v>151</v>
      </c>
      <c r="V28" s="40" t="s">
        <v>159</v>
      </c>
      <c r="W28" s="70">
        <f>W25-W26+W27</f>
        <v>18519.921830275387</v>
      </c>
      <c r="X28" s="28"/>
      <c r="Y28" s="87"/>
      <c r="Z28" s="42"/>
      <c r="AA28" s="42"/>
      <c r="AB28" s="42"/>
      <c r="AC28" s="42"/>
      <c r="AD28" s="91"/>
      <c r="AE28" s="28"/>
      <c r="AF28" s="101"/>
      <c r="AG28" s="43"/>
      <c r="AH28" s="43"/>
      <c r="AI28" s="43"/>
      <c r="AJ28" s="43"/>
      <c r="AK28" s="44"/>
    </row>
    <row r="29" spans="1:37" x14ac:dyDescent="0.25">
      <c r="A29" s="28">
        <v>15</v>
      </c>
      <c r="B29" s="33">
        <v>44470</v>
      </c>
      <c r="C29" s="31">
        <f t="shared" si="0"/>
        <v>4166.666666666667</v>
      </c>
      <c r="D29" s="31">
        <f t="shared" si="7"/>
        <v>4013.4978891879018</v>
      </c>
      <c r="E29" s="31">
        <f t="shared" si="4"/>
        <v>3874.4089292376611</v>
      </c>
      <c r="F29" s="31">
        <f t="shared" si="8"/>
        <v>170473.99288645713</v>
      </c>
      <c r="G29" s="31">
        <f t="shared" si="9"/>
        <v>433.51201658485212</v>
      </c>
      <c r="H29" s="32">
        <f t="shared" si="10"/>
        <v>173838.3186505257</v>
      </c>
      <c r="I29" s="29"/>
      <c r="J29" s="28">
        <v>3</v>
      </c>
      <c r="K29" s="31">
        <f t="shared" si="11"/>
        <v>4583.333333333333</v>
      </c>
      <c r="L29" s="31">
        <f t="shared" si="12"/>
        <v>4549.1294948636796</v>
      </c>
      <c r="M29" s="31">
        <f t="shared" si="6"/>
        <v>351.96100015615355</v>
      </c>
      <c r="N29" s="32">
        <f t="shared" si="13"/>
        <v>141136.36106261757</v>
      </c>
      <c r="P29" s="115" t="s">
        <v>115</v>
      </c>
      <c r="Q29" s="116"/>
      <c r="R29" s="116"/>
      <c r="S29" s="40"/>
      <c r="T29" s="40"/>
      <c r="U29" s="40"/>
      <c r="V29" s="40"/>
      <c r="W29" s="81"/>
      <c r="X29" s="28"/>
      <c r="Y29" s="87"/>
      <c r="Z29" s="42"/>
      <c r="AA29" s="42"/>
      <c r="AB29" s="42"/>
      <c r="AC29" s="42"/>
      <c r="AD29" s="91"/>
      <c r="AE29" s="28"/>
      <c r="AF29" s="101"/>
      <c r="AG29" s="43"/>
      <c r="AH29" s="43"/>
      <c r="AI29" s="43"/>
      <c r="AJ29" s="43"/>
      <c r="AK29" s="44"/>
    </row>
    <row r="30" spans="1:37" x14ac:dyDescent="0.25">
      <c r="A30" s="28">
        <v>16</v>
      </c>
      <c r="B30" s="33">
        <v>44501</v>
      </c>
      <c r="C30" s="31">
        <f t="shared" si="0"/>
        <v>4166.666666666667</v>
      </c>
      <c r="D30" s="31">
        <f t="shared" si="7"/>
        <v>4003.4891662722207</v>
      </c>
      <c r="E30" s="31">
        <f t="shared" si="4"/>
        <v>3874.4089292376611</v>
      </c>
      <c r="F30" s="31">
        <f t="shared" si="8"/>
        <v>166599.58395721947</v>
      </c>
      <c r="G30" s="31">
        <f t="shared" si="9"/>
        <v>424.17912995964764</v>
      </c>
      <c r="H30" s="32">
        <f t="shared" si="10"/>
        <v>170095.83111381868</v>
      </c>
      <c r="I30" s="29"/>
      <c r="J30" s="28">
        <v>4</v>
      </c>
      <c r="K30" s="31">
        <f t="shared" si="11"/>
        <v>4583.333333333333</v>
      </c>
      <c r="L30" s="31">
        <f t="shared" si="12"/>
        <v>4537.7850322829718</v>
      </c>
      <c r="M30" s="31">
        <f t="shared" si="6"/>
        <v>341.38256932321059</v>
      </c>
      <c r="N30" s="32">
        <f t="shared" si="13"/>
        <v>136894.41029860743</v>
      </c>
      <c r="P30" s="115" t="s">
        <v>342</v>
      </c>
      <c r="Q30" s="116"/>
      <c r="R30" s="116"/>
      <c r="S30" s="115"/>
      <c r="T30" s="116"/>
      <c r="U30" s="116"/>
      <c r="V30" s="40"/>
      <c r="W30" s="40"/>
      <c r="X30" s="28"/>
      <c r="Y30" s="87"/>
      <c r="Z30" s="42"/>
      <c r="AA30" s="42"/>
      <c r="AB30" s="42"/>
      <c r="AC30" s="42" t="s">
        <v>31</v>
      </c>
      <c r="AD30" s="95">
        <f>SUM(K26:K37)</f>
        <v>55000.000000000007</v>
      </c>
      <c r="AE30" s="28"/>
      <c r="AF30" s="101" t="s">
        <v>0</v>
      </c>
      <c r="AG30" s="43">
        <v>3240106</v>
      </c>
      <c r="AH30" s="43"/>
      <c r="AI30" s="43" t="s">
        <v>152</v>
      </c>
      <c r="AJ30" s="43" t="s">
        <v>271</v>
      </c>
      <c r="AK30" s="45">
        <f>AK32-AK31</f>
        <v>51096.31421746713</v>
      </c>
    </row>
    <row r="31" spans="1:37" x14ac:dyDescent="0.25">
      <c r="A31" s="28">
        <v>17</v>
      </c>
      <c r="B31" s="33">
        <v>44531</v>
      </c>
      <c r="C31" s="31">
        <f t="shared" si="0"/>
        <v>4166.666666666667</v>
      </c>
      <c r="D31" s="31">
        <f t="shared" si="7"/>
        <v>3993.5054027653077</v>
      </c>
      <c r="E31" s="31">
        <f t="shared" si="4"/>
        <v>3874.4089292376611</v>
      </c>
      <c r="F31" s="31">
        <f t="shared" si="8"/>
        <v>162725.17502798181</v>
      </c>
      <c r="G31" s="31">
        <f t="shared" si="9"/>
        <v>414.8229111178801</v>
      </c>
      <c r="H31" s="32">
        <f t="shared" si="10"/>
        <v>166343.98735826989</v>
      </c>
      <c r="I31" s="29"/>
      <c r="J31" s="28">
        <v>5</v>
      </c>
      <c r="K31" s="31">
        <f t="shared" si="11"/>
        <v>4583.333333333333</v>
      </c>
      <c r="L31" s="31">
        <f t="shared" si="12"/>
        <v>4526.4688601326397</v>
      </c>
      <c r="M31" s="31">
        <f t="shared" si="6"/>
        <v>330.77769241318521</v>
      </c>
      <c r="N31" s="32">
        <f t="shared" si="13"/>
        <v>132641.85465768728</v>
      </c>
      <c r="P31" s="115"/>
      <c r="Q31" s="116"/>
      <c r="R31" s="116"/>
      <c r="S31" s="40"/>
      <c r="T31" s="40"/>
      <c r="U31" s="40"/>
      <c r="V31" s="40"/>
      <c r="W31" s="70"/>
      <c r="X31" s="28"/>
      <c r="Y31" s="87" t="s">
        <v>1</v>
      </c>
      <c r="Z31" s="42">
        <v>1220017</v>
      </c>
      <c r="AA31" s="42"/>
      <c r="AB31" s="42" t="s">
        <v>152</v>
      </c>
      <c r="AC31" s="42" t="s">
        <v>196</v>
      </c>
      <c r="AD31" s="95">
        <f>SUM(M26:M37)</f>
        <v>3903.6857825328748</v>
      </c>
      <c r="AE31" s="28"/>
      <c r="AF31" s="101" t="s">
        <v>0</v>
      </c>
      <c r="AG31" s="43">
        <v>2422020</v>
      </c>
      <c r="AH31" s="43"/>
      <c r="AI31" s="43"/>
      <c r="AJ31" s="43" t="s">
        <v>161</v>
      </c>
      <c r="AK31" s="45">
        <f>SUM(M26:M37)</f>
        <v>3903.6857825328748</v>
      </c>
    </row>
    <row r="32" spans="1:37" x14ac:dyDescent="0.25">
      <c r="A32" s="28">
        <v>18</v>
      </c>
      <c r="B32" s="33">
        <v>44562</v>
      </c>
      <c r="C32" s="31">
        <f t="shared" si="0"/>
        <v>4166.666666666667</v>
      </c>
      <c r="D32" s="31">
        <f t="shared" si="7"/>
        <v>3983.5465364242468</v>
      </c>
      <c r="E32" s="31">
        <f t="shared" si="4"/>
        <v>3874.4089292376611</v>
      </c>
      <c r="F32" s="31">
        <f t="shared" si="8"/>
        <v>158850.76609874415</v>
      </c>
      <c r="G32" s="31">
        <f t="shared" si="9"/>
        <v>405.44330172900811</v>
      </c>
      <c r="H32" s="32">
        <f t="shared" si="10"/>
        <v>162582.76399333225</v>
      </c>
      <c r="I32" s="29"/>
      <c r="J32" s="28">
        <v>6</v>
      </c>
      <c r="K32" s="31">
        <f t="shared" si="11"/>
        <v>4583.333333333333</v>
      </c>
      <c r="L32" s="31">
        <f t="shared" si="12"/>
        <v>4515.180907862984</v>
      </c>
      <c r="M32" s="31">
        <f t="shared" si="6"/>
        <v>320.14630331088489</v>
      </c>
      <c r="N32" s="32">
        <f t="shared" si="13"/>
        <v>128378.66762766484</v>
      </c>
      <c r="P32" s="115" t="s">
        <v>205</v>
      </c>
      <c r="Q32" s="116" t="s">
        <v>107</v>
      </c>
      <c r="R32" s="116" t="s">
        <v>0</v>
      </c>
      <c r="S32" s="40">
        <v>3240106</v>
      </c>
      <c r="T32" s="40"/>
      <c r="U32" s="40"/>
      <c r="V32" s="40" t="s">
        <v>271</v>
      </c>
      <c r="W32" s="70">
        <f>W34-W33</f>
        <v>45080.042124241874</v>
      </c>
      <c r="X32" s="28"/>
      <c r="Y32" s="87" t="s">
        <v>1</v>
      </c>
      <c r="Z32" s="42">
        <v>5233024</v>
      </c>
      <c r="AA32" s="42"/>
      <c r="AB32" s="42" t="s">
        <v>152</v>
      </c>
      <c r="AC32" s="42" t="s">
        <v>173</v>
      </c>
      <c r="AD32" s="95">
        <f>AD30-AD31</f>
        <v>51096.31421746713</v>
      </c>
      <c r="AE32" s="28"/>
      <c r="AF32" s="101" t="s">
        <v>1</v>
      </c>
      <c r="AG32" s="43"/>
      <c r="AH32" s="43"/>
      <c r="AI32" s="43"/>
      <c r="AJ32" s="43" t="s">
        <v>31</v>
      </c>
      <c r="AK32" s="45">
        <f>SUM(K26:K37)</f>
        <v>55000.000000000007</v>
      </c>
    </row>
    <row r="33" spans="1:37" x14ac:dyDescent="0.25">
      <c r="A33" s="28">
        <v>19</v>
      </c>
      <c r="B33" s="33">
        <v>44593</v>
      </c>
      <c r="C33" s="31">
        <f t="shared" si="0"/>
        <v>4166.666666666667</v>
      </c>
      <c r="D33" s="31">
        <f t="shared" si="7"/>
        <v>3973.6125051613444</v>
      </c>
      <c r="E33" s="31">
        <f t="shared" si="4"/>
        <v>3874.4089292376611</v>
      </c>
      <c r="F33" s="31">
        <f t="shared" si="8"/>
        <v>154976.35716950649</v>
      </c>
      <c r="G33" s="31">
        <f t="shared" si="9"/>
        <v>396.04024331666398</v>
      </c>
      <c r="H33" s="32">
        <f t="shared" si="10"/>
        <v>158812.13756998227</v>
      </c>
      <c r="I33" s="29"/>
      <c r="J33" s="28">
        <v>7</v>
      </c>
      <c r="K33" s="31">
        <f t="shared" si="11"/>
        <v>4583.333333333333</v>
      </c>
      <c r="L33" s="31">
        <f t="shared" si="12"/>
        <v>4503.921105100233</v>
      </c>
      <c r="M33" s="31">
        <f t="shared" si="6"/>
        <v>309.4883357358288</v>
      </c>
      <c r="N33" s="32">
        <f t="shared" si="13"/>
        <v>124104.82263006734</v>
      </c>
      <c r="P33" s="115"/>
      <c r="Q33" s="116"/>
      <c r="R33" s="116" t="s">
        <v>0</v>
      </c>
      <c r="S33" s="40">
        <v>2422020</v>
      </c>
      <c r="T33" s="40"/>
      <c r="U33" s="40"/>
      <c r="V33" s="40" t="s">
        <v>161</v>
      </c>
      <c r="W33" s="70">
        <f>SUM(G26:G37)</f>
        <v>4919.9578757581157</v>
      </c>
      <c r="X33" s="28"/>
      <c r="Y33" s="87" t="s">
        <v>266</v>
      </c>
      <c r="Z33" s="42"/>
      <c r="AA33" s="42"/>
      <c r="AB33" s="42"/>
      <c r="AC33" s="42"/>
      <c r="AD33" s="91"/>
      <c r="AE33" s="28"/>
      <c r="AF33" s="101" t="s">
        <v>121</v>
      </c>
      <c r="AG33" s="43"/>
      <c r="AH33" s="43"/>
      <c r="AI33" s="43"/>
      <c r="AJ33" s="43"/>
      <c r="AK33" s="44"/>
    </row>
    <row r="34" spans="1:37" x14ac:dyDescent="0.25">
      <c r="A34" s="28">
        <v>20</v>
      </c>
      <c r="B34" s="33">
        <v>44621</v>
      </c>
      <c r="C34" s="31">
        <f t="shared" si="0"/>
        <v>4166.666666666667</v>
      </c>
      <c r="D34" s="31">
        <f t="shared" si="7"/>
        <v>3963.7032470437348</v>
      </c>
      <c r="E34" s="31">
        <f t="shared" si="4"/>
        <v>3874.4089292376611</v>
      </c>
      <c r="F34" s="31">
        <f t="shared" si="8"/>
        <v>151101.94824026883</v>
      </c>
      <c r="G34" s="31">
        <f t="shared" si="9"/>
        <v>386.61367725828904</v>
      </c>
      <c r="H34" s="32">
        <f t="shared" si="10"/>
        <v>155032.08458057389</v>
      </c>
      <c r="I34" s="29"/>
      <c r="J34" s="28">
        <v>8</v>
      </c>
      <c r="K34" s="31">
        <f t="shared" si="11"/>
        <v>4583.333333333333</v>
      </c>
      <c r="L34" s="31">
        <f t="shared" si="12"/>
        <v>4492.6893816461179</v>
      </c>
      <c r="M34" s="31">
        <f t="shared" si="6"/>
        <v>298.80372324183503</v>
      </c>
      <c r="N34" s="32">
        <f t="shared" si="13"/>
        <v>119820.29301997584</v>
      </c>
      <c r="P34" s="115"/>
      <c r="Q34" s="116"/>
      <c r="R34" s="116" t="s">
        <v>1</v>
      </c>
      <c r="S34" s="40"/>
      <c r="T34" s="40"/>
      <c r="U34" s="40"/>
      <c r="V34" s="40" t="s">
        <v>31</v>
      </c>
      <c r="W34" s="70">
        <f>SUM(C26:C37)</f>
        <v>49999.999999999993</v>
      </c>
      <c r="X34" s="28"/>
      <c r="Y34" s="87"/>
      <c r="Z34" s="42"/>
      <c r="AA34" s="42"/>
      <c r="AB34" s="42"/>
      <c r="AC34" s="42"/>
      <c r="AD34" s="91"/>
      <c r="AE34" s="28"/>
      <c r="AF34" s="101"/>
      <c r="AG34" s="43"/>
      <c r="AH34" s="43"/>
      <c r="AI34" s="43"/>
      <c r="AJ34" s="43"/>
      <c r="AK34" s="44"/>
    </row>
    <row r="35" spans="1:37" x14ac:dyDescent="0.25">
      <c r="A35" s="28">
        <v>21</v>
      </c>
      <c r="B35" s="33">
        <v>44652</v>
      </c>
      <c r="C35" s="31">
        <f t="shared" si="0"/>
        <v>4166.666666666667</v>
      </c>
      <c r="D35" s="31">
        <f t="shared" si="7"/>
        <v>3953.8187002930026</v>
      </c>
      <c r="E35" s="31">
        <f t="shared" si="4"/>
        <v>3874.4089292376611</v>
      </c>
      <c r="F35" s="31">
        <f t="shared" si="8"/>
        <v>147227.53931103117</v>
      </c>
      <c r="G35" s="31">
        <f t="shared" si="9"/>
        <v>377.16354478476808</v>
      </c>
      <c r="H35" s="32">
        <f t="shared" si="10"/>
        <v>151242.581458692</v>
      </c>
      <c r="I35" s="29"/>
      <c r="J35" s="28">
        <v>9</v>
      </c>
      <c r="K35" s="31">
        <f t="shared" si="11"/>
        <v>4583.333333333333</v>
      </c>
      <c r="L35" s="31">
        <f t="shared" si="12"/>
        <v>4481.4856674774237</v>
      </c>
      <c r="M35" s="31">
        <f t="shared" si="6"/>
        <v>288.09239921660628</v>
      </c>
      <c r="N35" s="32">
        <f t="shared" si="13"/>
        <v>115525.05208585912</v>
      </c>
      <c r="P35" s="115" t="s">
        <v>133</v>
      </c>
      <c r="Q35" s="116"/>
      <c r="R35" s="116"/>
      <c r="S35" s="40"/>
      <c r="T35" s="40"/>
      <c r="U35" s="40"/>
      <c r="V35" s="40"/>
      <c r="W35" s="81"/>
      <c r="X35" s="28"/>
      <c r="Y35" s="87"/>
      <c r="Z35" s="42"/>
      <c r="AA35" s="42"/>
      <c r="AB35" s="42"/>
      <c r="AC35" s="42"/>
      <c r="AD35" s="91"/>
      <c r="AE35" s="28"/>
      <c r="AF35" s="101" t="s">
        <v>0</v>
      </c>
      <c r="AG35" s="43">
        <v>2241002</v>
      </c>
      <c r="AH35" s="43"/>
      <c r="AI35" s="43"/>
      <c r="AJ35" s="43" t="s">
        <v>251</v>
      </c>
      <c r="AK35" s="45">
        <f>+N$25/3</f>
        <v>52666.214427610372</v>
      </c>
    </row>
    <row r="36" spans="1:37" x14ac:dyDescent="0.25">
      <c r="A36" s="28">
        <v>22</v>
      </c>
      <c r="B36" s="33">
        <v>44682</v>
      </c>
      <c r="C36" s="31">
        <f t="shared" si="0"/>
        <v>4166.666666666667</v>
      </c>
      <c r="D36" s="31">
        <f t="shared" si="7"/>
        <v>3943.9588032847914</v>
      </c>
      <c r="E36" s="31">
        <f t="shared" si="4"/>
        <v>3874.4089292376611</v>
      </c>
      <c r="F36" s="31">
        <f t="shared" si="8"/>
        <v>143353.13038179351</v>
      </c>
      <c r="G36" s="31">
        <f t="shared" si="9"/>
        <v>367.68978698006339</v>
      </c>
      <c r="H36" s="32">
        <f t="shared" si="10"/>
        <v>147443.60457900542</v>
      </c>
      <c r="I36" s="29"/>
      <c r="J36" s="28">
        <v>10</v>
      </c>
      <c r="K36" s="31">
        <f t="shared" si="11"/>
        <v>4583.333333333333</v>
      </c>
      <c r="L36" s="31">
        <f t="shared" si="12"/>
        <v>4470.3098927455612</v>
      </c>
      <c r="M36" s="31">
        <f t="shared" si="6"/>
        <v>277.3542968813145</v>
      </c>
      <c r="N36" s="32">
        <f t="shared" si="13"/>
        <v>111219.0730494071</v>
      </c>
      <c r="P36" s="115" t="s">
        <v>137</v>
      </c>
      <c r="Q36" s="116"/>
      <c r="R36" s="116"/>
      <c r="S36" s="40"/>
      <c r="T36" s="40"/>
      <c r="U36" s="40"/>
      <c r="V36" s="40"/>
      <c r="W36" s="81"/>
      <c r="X36" s="28"/>
      <c r="Y36" s="87"/>
      <c r="Z36" s="42"/>
      <c r="AA36" s="42"/>
      <c r="AB36" s="42"/>
      <c r="AC36" s="42"/>
      <c r="AD36" s="91"/>
      <c r="AE36" s="28"/>
      <c r="AF36" s="101" t="s">
        <v>1</v>
      </c>
      <c r="AG36" s="43">
        <v>5311002</v>
      </c>
      <c r="AH36" s="43">
        <v>7353</v>
      </c>
      <c r="AI36" s="43" t="s">
        <v>151</v>
      </c>
      <c r="AJ36" s="43" t="s">
        <v>105</v>
      </c>
      <c r="AK36" s="45">
        <f>AK35</f>
        <v>52666.214427610372</v>
      </c>
    </row>
    <row r="37" spans="1:37" ht="15.75" thickBot="1" x14ac:dyDescent="0.3">
      <c r="A37" s="28">
        <v>23</v>
      </c>
      <c r="B37" s="33">
        <v>44713</v>
      </c>
      <c r="C37" s="31">
        <f t="shared" si="0"/>
        <v>4166.666666666667</v>
      </c>
      <c r="D37" s="31">
        <f>+C37/(1+F$1)^A37</f>
        <v>3934.1234945484202</v>
      </c>
      <c r="E37" s="31">
        <f t="shared" si="4"/>
        <v>3874.4089292376611</v>
      </c>
      <c r="F37" s="31">
        <f t="shared" si="8"/>
        <v>139478.72145255585</v>
      </c>
      <c r="G37" s="31">
        <f t="shared" si="9"/>
        <v>358.19234478084689</v>
      </c>
      <c r="H37" s="32">
        <f t="shared" si="10"/>
        <v>143635.1302571196</v>
      </c>
      <c r="I37" s="29"/>
      <c r="J37" s="28">
        <v>11</v>
      </c>
      <c r="K37" s="31">
        <f t="shared" si="11"/>
        <v>4583.333333333333</v>
      </c>
      <c r="L37" s="31">
        <f>+K37/(1+F$1)^J37</f>
        <v>4459.1619877761214</v>
      </c>
      <c r="M37" s="31">
        <f t="shared" si="6"/>
        <v>266.58934929018443</v>
      </c>
      <c r="N37" s="32">
        <f t="shared" si="13"/>
        <v>106902.32906536396</v>
      </c>
      <c r="P37" s="115" t="s">
        <v>335</v>
      </c>
      <c r="Q37" s="116"/>
      <c r="R37" s="116"/>
      <c r="S37" s="40"/>
      <c r="T37" s="40"/>
      <c r="U37" s="40"/>
      <c r="V37" s="40"/>
      <c r="W37" s="81"/>
      <c r="X37" s="28"/>
      <c r="Y37" s="87"/>
      <c r="Z37" s="42"/>
      <c r="AA37" s="42"/>
      <c r="AB37" s="42"/>
      <c r="AC37" s="42"/>
      <c r="AD37" s="91"/>
      <c r="AE37" s="28"/>
      <c r="AF37" s="101" t="s">
        <v>193</v>
      </c>
      <c r="AG37" s="43"/>
      <c r="AH37" s="43"/>
      <c r="AI37" s="43"/>
      <c r="AJ37" s="43"/>
      <c r="AK37" s="44"/>
    </row>
    <row r="38" spans="1:37" x14ac:dyDescent="0.25">
      <c r="A38" s="28">
        <v>24</v>
      </c>
      <c r="B38" s="33">
        <v>44743</v>
      </c>
      <c r="C38" s="31">
        <f t="shared" si="0"/>
        <v>4166.666666666667</v>
      </c>
      <c r="D38" s="31">
        <f>+C38/(1+F$1)^A38</f>
        <v>3924.3127127665043</v>
      </c>
      <c r="E38" s="31">
        <f t="shared" si="4"/>
        <v>3874.4089292376611</v>
      </c>
      <c r="F38" s="31">
        <f t="shared" si="8"/>
        <v>135604.31252331819</v>
      </c>
      <c r="G38" s="31">
        <f t="shared" si="9"/>
        <v>348.67115897613235</v>
      </c>
      <c r="H38" s="32">
        <f t="shared" si="10"/>
        <v>139817.13474942907</v>
      </c>
      <c r="I38" s="29"/>
      <c r="J38" s="28">
        <v>12</v>
      </c>
      <c r="K38" s="31">
        <f t="shared" si="11"/>
        <v>4583.333333333333</v>
      </c>
      <c r="L38" s="31">
        <f t="shared" si="12"/>
        <v>4448.0418830684494</v>
      </c>
      <c r="M38" s="31">
        <f t="shared" si="6"/>
        <v>255.79748933007659</v>
      </c>
      <c r="N38" s="32">
        <f t="shared" si="13"/>
        <v>102574.7932213607</v>
      </c>
      <c r="P38" s="124" t="s">
        <v>114</v>
      </c>
      <c r="Q38" s="125" t="s">
        <v>108</v>
      </c>
      <c r="R38" s="125" t="s">
        <v>0</v>
      </c>
      <c r="S38" s="51">
        <v>3240106</v>
      </c>
      <c r="T38" s="51"/>
      <c r="U38" s="51"/>
      <c r="V38" s="51" t="s">
        <v>271</v>
      </c>
      <c r="W38" s="69">
        <f>W40-W39</f>
        <v>46451.194743151915</v>
      </c>
      <c r="X38" s="28"/>
      <c r="Y38" s="89" t="s">
        <v>0</v>
      </c>
      <c r="Z38" s="54"/>
      <c r="AA38" s="54"/>
      <c r="AB38" s="54"/>
      <c r="AC38" s="54" t="s">
        <v>31</v>
      </c>
      <c r="AD38" s="94">
        <f>SUM(K38:K49)</f>
        <v>55000.000000000007</v>
      </c>
      <c r="AE38" s="28"/>
      <c r="AF38" s="100" t="s">
        <v>0</v>
      </c>
      <c r="AG38" s="55">
        <v>3240106</v>
      </c>
      <c r="AH38" s="55"/>
      <c r="AI38" s="55" t="s">
        <v>152</v>
      </c>
      <c r="AJ38" s="55" t="s">
        <v>271</v>
      </c>
      <c r="AK38" s="58">
        <f>AK40-AK39</f>
        <v>52650.457509144646</v>
      </c>
    </row>
    <row r="39" spans="1:37" x14ac:dyDescent="0.25">
      <c r="A39" s="28">
        <v>25</v>
      </c>
      <c r="B39" s="33">
        <v>44774</v>
      </c>
      <c r="C39" s="31">
        <f t="shared" si="0"/>
        <v>4166.666666666667</v>
      </c>
      <c r="D39" s="31">
        <f t="shared" si="7"/>
        <v>3914.5263967745673</v>
      </c>
      <c r="E39" s="31">
        <f t="shared" si="4"/>
        <v>3874.4089292376611</v>
      </c>
      <c r="F39" s="31">
        <f t="shared" si="8"/>
        <v>131729.90359408053</v>
      </c>
      <c r="G39" s="31">
        <f t="shared" si="9"/>
        <v>339.12617020690601</v>
      </c>
      <c r="H39" s="32">
        <f t="shared" si="10"/>
        <v>135989.59425296931</v>
      </c>
      <c r="I39" s="29"/>
      <c r="J39" s="28">
        <v>13</v>
      </c>
      <c r="K39" s="31">
        <f t="shared" si="11"/>
        <v>4583.333333333333</v>
      </c>
      <c r="L39" s="31">
        <f t="shared" si="12"/>
        <v>4436.9495092952111</v>
      </c>
      <c r="M39" s="31">
        <f t="shared" si="6"/>
        <v>244.97864972006843</v>
      </c>
      <c r="N39" s="32">
        <f t="shared" si="13"/>
        <v>98236.438537747439</v>
      </c>
      <c r="P39" s="115"/>
      <c r="Q39" s="116"/>
      <c r="R39" s="116" t="s">
        <v>0</v>
      </c>
      <c r="S39" s="40">
        <v>2422020</v>
      </c>
      <c r="T39" s="40"/>
      <c r="U39" s="40"/>
      <c r="V39" s="40" t="s">
        <v>161</v>
      </c>
      <c r="W39" s="70">
        <f>SUM(G38:G49)</f>
        <v>3548.8052568480807</v>
      </c>
      <c r="X39" s="28"/>
      <c r="Y39" s="87" t="s">
        <v>1</v>
      </c>
      <c r="Z39" s="42">
        <v>1220017</v>
      </c>
      <c r="AA39" s="42"/>
      <c r="AB39" s="42" t="s">
        <v>152</v>
      </c>
      <c r="AC39" s="42" t="s">
        <v>160</v>
      </c>
      <c r="AD39" s="95">
        <f>SUM(M38:M49)</f>
        <v>2349.5424908553632</v>
      </c>
      <c r="AE39" s="28"/>
      <c r="AF39" s="101" t="s">
        <v>0</v>
      </c>
      <c r="AG39" s="43">
        <v>2422020</v>
      </c>
      <c r="AH39" s="43"/>
      <c r="AI39" s="43"/>
      <c r="AJ39" s="43" t="s">
        <v>161</v>
      </c>
      <c r="AK39" s="45">
        <f>SUM(M38:M49)</f>
        <v>2349.5424908553632</v>
      </c>
    </row>
    <row r="40" spans="1:37" x14ac:dyDescent="0.25">
      <c r="A40" s="28">
        <v>26</v>
      </c>
      <c r="B40" s="33">
        <v>44805</v>
      </c>
      <c r="C40" s="31">
        <f t="shared" si="0"/>
        <v>4166.666666666667</v>
      </c>
      <c r="D40" s="31">
        <f t="shared" si="7"/>
        <v>3904.7644855606659</v>
      </c>
      <c r="E40" s="31">
        <f t="shared" si="4"/>
        <v>3874.4089292376611</v>
      </c>
      <c r="F40" s="31">
        <f t="shared" si="8"/>
        <v>127855.49466484287</v>
      </c>
      <c r="G40" s="31">
        <f t="shared" si="9"/>
        <v>329.55731896575662</v>
      </c>
      <c r="H40" s="32">
        <f t="shared" si="10"/>
        <v>132152.48490526841</v>
      </c>
      <c r="I40" s="29"/>
      <c r="J40" s="28">
        <v>14</v>
      </c>
      <c r="K40" s="31">
        <f t="shared" si="11"/>
        <v>4583.333333333333</v>
      </c>
      <c r="L40" s="31">
        <f t="shared" si="12"/>
        <v>4425.8847973019574</v>
      </c>
      <c r="M40" s="31">
        <f t="shared" si="6"/>
        <v>234.13276301103528</v>
      </c>
      <c r="N40" s="32">
        <f t="shared" si="13"/>
        <v>93887.237967425142</v>
      </c>
      <c r="P40" s="115"/>
      <c r="Q40" s="116"/>
      <c r="R40" s="116" t="s">
        <v>1</v>
      </c>
      <c r="S40" s="40"/>
      <c r="T40" s="40"/>
      <c r="U40" s="40"/>
      <c r="V40" s="40" t="s">
        <v>31</v>
      </c>
      <c r="W40" s="70">
        <f>SUM(C38:C49)</f>
        <v>49999.999999999993</v>
      </c>
      <c r="X40" s="28"/>
      <c r="Y40" s="87" t="s">
        <v>1</v>
      </c>
      <c r="Z40" s="42">
        <v>5233024</v>
      </c>
      <c r="AA40" s="42"/>
      <c r="AB40" s="42" t="s">
        <v>152</v>
      </c>
      <c r="AC40" s="42" t="s">
        <v>173</v>
      </c>
      <c r="AD40" s="95">
        <f>AD38-AD39</f>
        <v>52650.457509144646</v>
      </c>
      <c r="AE40" s="28"/>
      <c r="AF40" s="101" t="s">
        <v>1</v>
      </c>
      <c r="AG40" s="43"/>
      <c r="AH40" s="43"/>
      <c r="AI40" s="43"/>
      <c r="AJ40" s="43" t="s">
        <v>31</v>
      </c>
      <c r="AK40" s="45">
        <f>SUM(K38:K49)</f>
        <v>55000.000000000007</v>
      </c>
    </row>
    <row r="41" spans="1:37" x14ac:dyDescent="0.25">
      <c r="A41" s="28">
        <v>27</v>
      </c>
      <c r="B41" s="33">
        <v>44835</v>
      </c>
      <c r="C41" s="31">
        <f t="shared" si="0"/>
        <v>4166.666666666667</v>
      </c>
      <c r="D41" s="31">
        <f t="shared" si="7"/>
        <v>3895.026918265004</v>
      </c>
      <c r="E41" s="31">
        <f t="shared" si="4"/>
        <v>3874.4089292376611</v>
      </c>
      <c r="F41" s="31">
        <f t="shared" si="8"/>
        <v>123981.08573560521</v>
      </c>
      <c r="G41" s="31">
        <f t="shared" si="9"/>
        <v>319.96454559650437</v>
      </c>
      <c r="H41" s="32">
        <f t="shared" si="10"/>
        <v>128305.78278419825</v>
      </c>
      <c r="I41" s="29"/>
      <c r="J41" s="28">
        <v>15</v>
      </c>
      <c r="K41" s="31">
        <f t="shared" si="11"/>
        <v>4583.333333333333</v>
      </c>
      <c r="L41" s="31">
        <f t="shared" si="12"/>
        <v>4414.8476781066911</v>
      </c>
      <c r="M41" s="31">
        <f t="shared" si="6"/>
        <v>223.25976158522954</v>
      </c>
      <c r="N41" s="32">
        <f t="shared" si="13"/>
        <v>89527.164395677042</v>
      </c>
      <c r="P41" s="115" t="s">
        <v>134</v>
      </c>
      <c r="Q41" s="116"/>
      <c r="R41" s="116"/>
      <c r="S41" s="40"/>
      <c r="T41" s="40"/>
      <c r="U41" s="40"/>
      <c r="V41" s="40"/>
      <c r="W41" s="81"/>
      <c r="X41" s="28"/>
      <c r="Y41" s="87" t="s">
        <v>267</v>
      </c>
      <c r="Z41" s="42"/>
      <c r="AA41" s="42"/>
      <c r="AB41" s="42"/>
      <c r="AC41" s="42"/>
      <c r="AD41" s="91"/>
      <c r="AE41" s="28"/>
      <c r="AF41" s="101" t="s">
        <v>123</v>
      </c>
      <c r="AG41" s="43"/>
      <c r="AH41" s="43"/>
      <c r="AI41" s="43"/>
      <c r="AJ41" s="43"/>
      <c r="AK41" s="44"/>
    </row>
    <row r="42" spans="1:37" x14ac:dyDescent="0.25">
      <c r="A42" s="28">
        <v>28</v>
      </c>
      <c r="B42" s="33">
        <v>44866</v>
      </c>
      <c r="C42" s="31">
        <f t="shared" si="0"/>
        <v>4166.666666666667</v>
      </c>
      <c r="D42" s="31">
        <f t="shared" si="7"/>
        <v>3885.3136341795553</v>
      </c>
      <c r="E42" s="31">
        <f t="shared" si="4"/>
        <v>3874.4089292376611</v>
      </c>
      <c r="F42" s="31">
        <f t="shared" si="8"/>
        <v>120106.67680636756</v>
      </c>
      <c r="G42" s="31">
        <f t="shared" si="9"/>
        <v>310.34779029382895</v>
      </c>
      <c r="H42" s="32">
        <f t="shared" si="10"/>
        <v>124449.46390782541</v>
      </c>
      <c r="I42" s="29"/>
      <c r="J42" s="28">
        <v>16</v>
      </c>
      <c r="K42" s="31">
        <f t="shared" si="11"/>
        <v>4583.333333333333</v>
      </c>
      <c r="L42" s="31">
        <f t="shared" si="12"/>
        <v>4403.8380828994423</v>
      </c>
      <c r="M42" s="31">
        <f t="shared" si="6"/>
        <v>212.35957765585928</v>
      </c>
      <c r="N42" s="32">
        <f t="shared" si="13"/>
        <v>85156.190639999579</v>
      </c>
      <c r="P42" s="115"/>
      <c r="Q42" s="116"/>
      <c r="R42" s="116"/>
      <c r="S42" s="40"/>
      <c r="T42" s="40"/>
      <c r="U42" s="40"/>
      <c r="V42" s="40"/>
      <c r="W42" s="81"/>
      <c r="X42" s="28"/>
      <c r="Y42" s="87"/>
      <c r="Z42" s="42"/>
      <c r="AA42" s="42"/>
      <c r="AB42" s="42"/>
      <c r="AC42" s="42"/>
      <c r="AD42" s="91"/>
      <c r="AE42" s="28"/>
      <c r="AF42" s="101"/>
      <c r="AG42" s="43"/>
      <c r="AH42" s="43"/>
      <c r="AI42" s="43"/>
      <c r="AJ42" s="43"/>
      <c r="AK42" s="44"/>
    </row>
    <row r="43" spans="1:37" x14ac:dyDescent="0.25">
      <c r="A43" s="28">
        <v>29</v>
      </c>
      <c r="B43" s="33">
        <v>44896</v>
      </c>
      <c r="C43" s="31">
        <f t="shared" si="0"/>
        <v>4166.666666666667</v>
      </c>
      <c r="D43" s="31">
        <f t="shared" si="7"/>
        <v>3875.6245727476853</v>
      </c>
      <c r="E43" s="31">
        <f t="shared" si="4"/>
        <v>3874.4089292376611</v>
      </c>
      <c r="F43" s="31">
        <f t="shared" si="8"/>
        <v>116232.2678771299</v>
      </c>
      <c r="G43" s="31">
        <f t="shared" si="9"/>
        <v>300.70699310289683</v>
      </c>
      <c r="H43" s="32">
        <f t="shared" si="10"/>
        <v>120583.50423426164</v>
      </c>
      <c r="I43" s="29"/>
      <c r="J43" s="28">
        <v>17</v>
      </c>
      <c r="K43" s="31">
        <f t="shared" si="11"/>
        <v>4583.333333333333</v>
      </c>
      <c r="L43" s="31">
        <f t="shared" si="12"/>
        <v>4392.8559430418381</v>
      </c>
      <c r="M43" s="31">
        <f t="shared" si="6"/>
        <v>201.43214326666563</v>
      </c>
      <c r="N43" s="32">
        <f t="shared" si="13"/>
        <v>80774.289449932912</v>
      </c>
      <c r="P43" s="115" t="s">
        <v>137</v>
      </c>
      <c r="Q43" s="116"/>
      <c r="R43" s="116"/>
      <c r="S43" s="40"/>
      <c r="T43" s="40"/>
      <c r="U43" s="40"/>
      <c r="V43" s="40"/>
      <c r="W43" s="81"/>
      <c r="X43" s="28"/>
      <c r="Y43" s="87"/>
      <c r="Z43" s="42"/>
      <c r="AA43" s="42"/>
      <c r="AB43" s="42"/>
      <c r="AC43" s="42"/>
      <c r="AD43" s="91"/>
      <c r="AE43" s="28"/>
      <c r="AF43" s="101"/>
      <c r="AG43" s="43"/>
      <c r="AH43" s="43"/>
      <c r="AI43" s="43"/>
      <c r="AJ43" s="43"/>
      <c r="AK43" s="44"/>
    </row>
    <row r="44" spans="1:37" x14ac:dyDescent="0.25">
      <c r="A44" s="28">
        <v>30</v>
      </c>
      <c r="B44" s="33">
        <v>44927</v>
      </c>
      <c r="C44" s="31">
        <f t="shared" si="0"/>
        <v>4166.666666666667</v>
      </c>
      <c r="D44" s="31">
        <f t="shared" si="7"/>
        <v>3865.959673563777</v>
      </c>
      <c r="E44" s="31">
        <f t="shared" si="4"/>
        <v>3874.4089292376611</v>
      </c>
      <c r="F44" s="31">
        <f t="shared" si="8"/>
        <v>112357.85894789224</v>
      </c>
      <c r="G44" s="31">
        <f t="shared" si="9"/>
        <v>291.0420939189874</v>
      </c>
      <c r="H44" s="32">
        <f t="shared" si="10"/>
        <v>116707.87966151396</v>
      </c>
      <c r="I44" s="29"/>
      <c r="J44" s="28">
        <v>18</v>
      </c>
      <c r="K44" s="31">
        <f t="shared" si="11"/>
        <v>4583.333333333333</v>
      </c>
      <c r="L44" s="31">
        <f t="shared" si="12"/>
        <v>4381.901190066671</v>
      </c>
      <c r="M44" s="31">
        <f t="shared" si="6"/>
        <v>190.47739029149895</v>
      </c>
      <c r="N44" s="32">
        <f t="shared" si="13"/>
        <v>76381.433506891088</v>
      </c>
      <c r="P44" s="115" t="s">
        <v>335</v>
      </c>
      <c r="Q44" s="116"/>
      <c r="R44" s="116"/>
      <c r="S44" s="40"/>
      <c r="T44" s="40"/>
      <c r="U44" s="40"/>
      <c r="V44" s="40"/>
      <c r="W44" s="81"/>
      <c r="X44" s="28"/>
      <c r="Y44" s="87"/>
      <c r="Z44" s="42"/>
      <c r="AA44" s="42"/>
      <c r="AB44" s="42"/>
      <c r="AC44" s="42"/>
      <c r="AD44" s="91"/>
      <c r="AE44" s="28"/>
      <c r="AF44" s="101" t="s">
        <v>0</v>
      </c>
      <c r="AG44" s="43">
        <v>2241002</v>
      </c>
      <c r="AH44" s="43"/>
      <c r="AI44" s="43"/>
      <c r="AJ44" s="43" t="s">
        <v>251</v>
      </c>
      <c r="AK44" s="45">
        <f>+N$25/3</f>
        <v>52666.214427610372</v>
      </c>
    </row>
    <row r="45" spans="1:37" x14ac:dyDescent="0.25">
      <c r="A45" s="28">
        <v>31</v>
      </c>
      <c r="B45" s="33">
        <v>44958</v>
      </c>
      <c r="C45" s="31">
        <f t="shared" si="0"/>
        <v>4166.666666666667</v>
      </c>
      <c r="D45" s="31">
        <f t="shared" si="7"/>
        <v>3856.3188763728454</v>
      </c>
      <c r="E45" s="31">
        <f t="shared" si="4"/>
        <v>3874.4089292376611</v>
      </c>
      <c r="F45" s="31">
        <f t="shared" si="8"/>
        <v>108483.45001865458</v>
      </c>
      <c r="G45" s="31">
        <f t="shared" si="9"/>
        <v>281.35303248711824</v>
      </c>
      <c r="H45" s="32">
        <f t="shared" si="10"/>
        <v>112822.56602733441</v>
      </c>
      <c r="I45" s="29"/>
      <c r="J45" s="28">
        <v>19</v>
      </c>
      <c r="K45" s="31">
        <f t="shared" si="11"/>
        <v>4583.333333333333</v>
      </c>
      <c r="L45" s="31">
        <f t="shared" si="12"/>
        <v>4370.973755677478</v>
      </c>
      <c r="M45" s="31">
        <f t="shared" si="6"/>
        <v>179.4952504338944</v>
      </c>
      <c r="N45" s="32">
        <f t="shared" si="13"/>
        <v>71977.595423991646</v>
      </c>
      <c r="P45" s="115"/>
      <c r="Q45" s="116"/>
      <c r="R45" s="116"/>
      <c r="S45" s="40"/>
      <c r="T45" s="40"/>
      <c r="U45" s="40"/>
      <c r="V45" s="40"/>
      <c r="W45" s="81"/>
      <c r="X45" s="28"/>
      <c r="Y45" s="87"/>
      <c r="Z45" s="42"/>
      <c r="AA45" s="42"/>
      <c r="AB45" s="42"/>
      <c r="AC45" s="42"/>
      <c r="AD45" s="91"/>
      <c r="AE45" s="28"/>
      <c r="AF45" s="101" t="s">
        <v>1</v>
      </c>
      <c r="AG45" s="43">
        <v>5311002</v>
      </c>
      <c r="AH45" s="43">
        <v>7353</v>
      </c>
      <c r="AI45" s="43" t="s">
        <v>151</v>
      </c>
      <c r="AJ45" s="43" t="s">
        <v>105</v>
      </c>
      <c r="AK45" s="45">
        <f>AK44</f>
        <v>52666.214427610372</v>
      </c>
    </row>
    <row r="46" spans="1:37" x14ac:dyDescent="0.25">
      <c r="A46" s="28">
        <v>32</v>
      </c>
      <c r="B46" s="33">
        <v>44986</v>
      </c>
      <c r="C46" s="31">
        <f t="shared" si="0"/>
        <v>4166.666666666667</v>
      </c>
      <c r="D46" s="31">
        <f t="shared" si="7"/>
        <v>3846.7021210701691</v>
      </c>
      <c r="E46" s="31">
        <f t="shared" si="4"/>
        <v>3874.4089292376611</v>
      </c>
      <c r="F46" s="31">
        <f t="shared" si="8"/>
        <v>104609.04108941692</v>
      </c>
      <c r="G46" s="31">
        <f t="shared" si="9"/>
        <v>271.63974840166935</v>
      </c>
      <c r="H46" s="32">
        <f t="shared" si="10"/>
        <v>108927.5391090694</v>
      </c>
      <c r="I46" s="29"/>
      <c r="J46" s="28">
        <v>20</v>
      </c>
      <c r="K46" s="31">
        <f t="shared" si="11"/>
        <v>4583.333333333333</v>
      </c>
      <c r="L46" s="31">
        <f t="shared" si="12"/>
        <v>4360.0735717481075</v>
      </c>
      <c r="M46" s="31">
        <f t="shared" si="6"/>
        <v>168.4856552266458</v>
      </c>
      <c r="N46" s="32">
        <f t="shared" si="13"/>
        <v>67562.747745884961</v>
      </c>
      <c r="P46" s="115"/>
      <c r="Q46" s="116"/>
      <c r="R46" s="116"/>
      <c r="S46" s="40"/>
      <c r="T46" s="40"/>
      <c r="U46" s="40"/>
      <c r="V46" s="40"/>
      <c r="W46" s="81"/>
      <c r="X46" s="28"/>
      <c r="Y46" s="87"/>
      <c r="Z46" s="42"/>
      <c r="AA46" s="42"/>
      <c r="AB46" s="42"/>
      <c r="AC46" s="42"/>
      <c r="AD46" s="91"/>
      <c r="AE46" s="28"/>
      <c r="AF46" s="101" t="s">
        <v>190</v>
      </c>
      <c r="AG46" s="43"/>
      <c r="AH46" s="43"/>
      <c r="AI46" s="43"/>
      <c r="AJ46" s="43"/>
      <c r="AK46" s="44"/>
    </row>
    <row r="47" spans="1:37" x14ac:dyDescent="0.25">
      <c r="A47" s="28">
        <v>33</v>
      </c>
      <c r="B47" s="33">
        <v>45017</v>
      </c>
      <c r="C47" s="31">
        <f t="shared" si="0"/>
        <v>4166.666666666667</v>
      </c>
      <c r="D47" s="31">
        <f t="shared" si="7"/>
        <v>3837.1093477009172</v>
      </c>
      <c r="E47" s="31">
        <f t="shared" si="4"/>
        <v>3874.4089292376611</v>
      </c>
      <c r="F47" s="31">
        <f t="shared" si="8"/>
        <v>100734.63216017926</v>
      </c>
      <c r="G47" s="31">
        <f t="shared" si="9"/>
        <v>261.90218110600682</v>
      </c>
      <c r="H47" s="32">
        <f t="shared" si="10"/>
        <v>105022.77462350874</v>
      </c>
      <c r="I47" s="29"/>
      <c r="J47" s="28">
        <v>21</v>
      </c>
      <c r="K47" s="31">
        <f t="shared" si="11"/>
        <v>4583.333333333333</v>
      </c>
      <c r="L47" s="31">
        <f t="shared" si="12"/>
        <v>4349.2005703223022</v>
      </c>
      <c r="M47" s="31">
        <f t="shared" si="6"/>
        <v>157.44853603137906</v>
      </c>
      <c r="N47" s="32">
        <f t="shared" si="13"/>
        <v>63136.862948583002</v>
      </c>
      <c r="P47" s="115"/>
      <c r="Q47" s="116"/>
      <c r="R47" s="116"/>
      <c r="S47" s="40"/>
      <c r="T47" s="40"/>
      <c r="U47" s="40"/>
      <c r="V47" s="40"/>
      <c r="W47" s="81"/>
      <c r="X47" s="28"/>
      <c r="Y47" s="87"/>
      <c r="Z47" s="42"/>
      <c r="AA47" s="42"/>
      <c r="AB47" s="42"/>
      <c r="AC47" s="42"/>
      <c r="AD47" s="91"/>
      <c r="AE47" s="28"/>
      <c r="AF47" s="101"/>
      <c r="AG47" s="43"/>
      <c r="AH47" s="43"/>
      <c r="AI47" s="43"/>
      <c r="AJ47" s="43"/>
      <c r="AK47" s="44"/>
    </row>
    <row r="48" spans="1:37" x14ac:dyDescent="0.25">
      <c r="A48" s="28">
        <v>34</v>
      </c>
      <c r="B48" s="33">
        <v>45047</v>
      </c>
      <c r="C48" s="31">
        <f t="shared" si="0"/>
        <v>4166.666666666667</v>
      </c>
      <c r="D48" s="31">
        <f t="shared" si="7"/>
        <v>3827.5404964597683</v>
      </c>
      <c r="E48" s="31">
        <f t="shared" si="4"/>
        <v>3874.4089292376611</v>
      </c>
      <c r="F48" s="31">
        <f t="shared" si="8"/>
        <v>96860.223230941599</v>
      </c>
      <c r="G48" s="31">
        <f t="shared" si="9"/>
        <v>252.14026989210518</v>
      </c>
      <c r="H48" s="32">
        <f t="shared" si="10"/>
        <v>101108.24822673417</v>
      </c>
      <c r="I48" s="29"/>
      <c r="J48" s="28">
        <v>22</v>
      </c>
      <c r="K48" s="31">
        <f t="shared" si="11"/>
        <v>4583.333333333333</v>
      </c>
      <c r="L48" s="31">
        <f t="shared" si="12"/>
        <v>4338.35468361327</v>
      </c>
      <c r="M48" s="31">
        <f t="shared" si="6"/>
        <v>146.38382403812417</v>
      </c>
      <c r="N48" s="32">
        <f t="shared" si="13"/>
        <v>58699.91343928779</v>
      </c>
      <c r="P48" s="115"/>
      <c r="Q48" s="116"/>
      <c r="R48" s="116"/>
      <c r="S48" s="40"/>
      <c r="T48" s="40"/>
      <c r="U48" s="40"/>
      <c r="V48" s="40"/>
      <c r="W48" s="81"/>
      <c r="X48" s="28"/>
      <c r="Y48" s="87"/>
      <c r="Z48" s="42"/>
      <c r="AA48" s="42"/>
      <c r="AB48" s="42"/>
      <c r="AC48" s="42"/>
      <c r="AD48" s="91"/>
      <c r="AE48" s="28"/>
      <c r="AF48" s="101"/>
      <c r="AG48" s="43"/>
      <c r="AH48" s="43"/>
      <c r="AI48" s="43"/>
      <c r="AJ48" s="43"/>
      <c r="AK48" s="44"/>
    </row>
    <row r="49" spans="1:37" ht="15.75" thickBot="1" x14ac:dyDescent="0.3">
      <c r="A49" s="28">
        <v>35</v>
      </c>
      <c r="B49" s="33">
        <v>45078</v>
      </c>
      <c r="C49" s="31">
        <f t="shared" si="0"/>
        <v>4166.666666666667</v>
      </c>
      <c r="D49" s="31">
        <f>+C49/(1+F$1)^A49</f>
        <v>3817.9955076905421</v>
      </c>
      <c r="E49" s="31">
        <f t="shared" si="4"/>
        <v>3874.4089292376611</v>
      </c>
      <c r="F49" s="31">
        <f t="shared" si="8"/>
        <v>92985.81430170394</v>
      </c>
      <c r="G49" s="31">
        <f t="shared" si="9"/>
        <v>242.35395390016876</v>
      </c>
      <c r="H49" s="32">
        <f t="shared" si="10"/>
        <v>97183.935513967663</v>
      </c>
      <c r="I49" s="29"/>
      <c r="J49" s="28">
        <v>23</v>
      </c>
      <c r="K49" s="31">
        <f t="shared" si="11"/>
        <v>4583.333333333333</v>
      </c>
      <c r="L49" s="31">
        <f t="shared" si="12"/>
        <v>4327.5358440032614</v>
      </c>
      <c r="M49" s="31">
        <f t="shared" si="6"/>
        <v>135.29145026488612</v>
      </c>
      <c r="N49" s="32">
        <f t="shared" si="13"/>
        <v>54251.871556219339</v>
      </c>
      <c r="P49" s="136"/>
      <c r="Q49" s="137"/>
      <c r="R49" s="137"/>
      <c r="S49" s="47"/>
      <c r="T49" s="47"/>
      <c r="U49" s="47"/>
      <c r="V49" s="47"/>
      <c r="W49" s="82"/>
      <c r="X49" s="28"/>
      <c r="Y49" s="87"/>
      <c r="Z49" s="42"/>
      <c r="AA49" s="42"/>
      <c r="AB49" s="42"/>
      <c r="AC49" s="42"/>
      <c r="AD49" s="91"/>
      <c r="AE49" s="28"/>
      <c r="AF49" s="101"/>
      <c r="AG49" s="43"/>
      <c r="AH49" s="43"/>
      <c r="AI49" s="43"/>
      <c r="AJ49" s="43"/>
      <c r="AK49" s="44"/>
    </row>
    <row r="50" spans="1:37" x14ac:dyDescent="0.25">
      <c r="A50" s="28">
        <v>36</v>
      </c>
      <c r="B50" s="33">
        <v>45108</v>
      </c>
      <c r="C50" s="31">
        <f t="shared" si="0"/>
        <v>4166.666666666667</v>
      </c>
      <c r="D50" s="31">
        <f t="shared" si="7"/>
        <v>3808.4743218858271</v>
      </c>
      <c r="E50" s="31">
        <f t="shared" si="4"/>
        <v>3874.4089292376611</v>
      </c>
      <c r="F50" s="31">
        <f t="shared" si="8"/>
        <v>89111.405372466281</v>
      </c>
      <c r="G50" s="31">
        <f t="shared" si="9"/>
        <v>232.54317211825247</v>
      </c>
      <c r="H50" s="32">
        <f t="shared" si="10"/>
        <v>93249.812019419245</v>
      </c>
      <c r="I50" s="29"/>
      <c r="J50" s="28">
        <v>24</v>
      </c>
      <c r="K50" s="31">
        <f t="shared" si="11"/>
        <v>4583.333333333333</v>
      </c>
      <c r="L50" s="31">
        <f>+K50/(1+F$1)^J50</f>
        <v>4316.7439840431543</v>
      </c>
      <c r="M50" s="31">
        <f t="shared" si="6"/>
        <v>124.17134555721501</v>
      </c>
      <c r="N50" s="32">
        <f t="shared" si="13"/>
        <v>49792.709568443221</v>
      </c>
      <c r="P50" s="124" t="s">
        <v>116</v>
      </c>
      <c r="Q50" s="125" t="s">
        <v>140</v>
      </c>
      <c r="R50" s="125" t="s">
        <v>0</v>
      </c>
      <c r="S50" s="51">
        <v>3240106</v>
      </c>
      <c r="T50" s="51"/>
      <c r="U50" s="51"/>
      <c r="V50" s="51" t="s">
        <v>271</v>
      </c>
      <c r="W50" s="69">
        <f>W52-W51</f>
        <v>47864.05228104056</v>
      </c>
      <c r="X50" s="28"/>
      <c r="Y50" s="89" t="s">
        <v>0</v>
      </c>
      <c r="Z50" s="54"/>
      <c r="AA50" s="54"/>
      <c r="AB50" s="54"/>
      <c r="AC50" s="54" t="s">
        <v>31</v>
      </c>
      <c r="AD50" s="94">
        <f>SUM(K50:K61)</f>
        <v>55000.000000000007</v>
      </c>
      <c r="AE50" s="28"/>
      <c r="AF50" s="100" t="s">
        <v>0</v>
      </c>
      <c r="AG50" s="55">
        <v>3240106</v>
      </c>
      <c r="AH50" s="55"/>
      <c r="AI50" s="55" t="s">
        <v>152</v>
      </c>
      <c r="AJ50" s="55" t="s">
        <v>271</v>
      </c>
      <c r="AK50" s="58">
        <f>AK52-AK51</f>
        <v>54251.871556219237</v>
      </c>
    </row>
    <row r="51" spans="1:37" x14ac:dyDescent="0.25">
      <c r="A51" s="28">
        <v>37</v>
      </c>
      <c r="B51" s="33">
        <v>45139</v>
      </c>
      <c r="C51" s="31">
        <f t="shared" si="0"/>
        <v>4166.666666666667</v>
      </c>
      <c r="D51" s="31">
        <f t="shared" si="7"/>
        <v>3798.9768796866106</v>
      </c>
      <c r="E51" s="31">
        <f t="shared" si="4"/>
        <v>3874.4089292376611</v>
      </c>
      <c r="F51" s="31">
        <f t="shared" si="8"/>
        <v>85236.996443228622</v>
      </c>
      <c r="G51" s="31">
        <f t="shared" si="9"/>
        <v>222.70786338188145</v>
      </c>
      <c r="H51" s="32">
        <f t="shared" si="10"/>
        <v>89305.853216134448</v>
      </c>
      <c r="I51" s="29"/>
      <c r="J51" s="28">
        <v>25</v>
      </c>
      <c r="K51" s="31">
        <f t="shared" si="11"/>
        <v>4583.333333333333</v>
      </c>
      <c r="L51" s="31">
        <f t="shared" si="12"/>
        <v>4305.979036452024</v>
      </c>
      <c r="M51" s="31">
        <f t="shared" si="6"/>
        <v>113.02344058777472</v>
      </c>
      <c r="N51" s="32">
        <f t="shared" si="13"/>
        <v>45322.399675697663</v>
      </c>
      <c r="P51" s="115"/>
      <c r="Q51" s="116"/>
      <c r="R51" s="116" t="s">
        <v>0</v>
      </c>
      <c r="S51" s="40">
        <v>2422020</v>
      </c>
      <c r="T51" s="40"/>
      <c r="U51" s="40"/>
      <c r="V51" s="40" t="s">
        <v>161</v>
      </c>
      <c r="W51" s="70">
        <f>SUM(G50:G61)</f>
        <v>2135.9477189594327</v>
      </c>
      <c r="X51" s="28"/>
      <c r="Y51" s="87" t="s">
        <v>1</v>
      </c>
      <c r="Z51" s="42">
        <v>1220017</v>
      </c>
      <c r="AA51" s="42"/>
      <c r="AB51" s="42" t="s">
        <v>152</v>
      </c>
      <c r="AC51" s="42" t="s">
        <v>160</v>
      </c>
      <c r="AD51" s="95">
        <f>SUM(M50:M61)</f>
        <v>748.12844378077193</v>
      </c>
      <c r="AE51" s="28"/>
      <c r="AF51" s="101" t="s">
        <v>0</v>
      </c>
      <c r="AG51" s="43">
        <v>2422020</v>
      </c>
      <c r="AH51" s="43"/>
      <c r="AI51" s="43"/>
      <c r="AJ51" s="43" t="s">
        <v>161</v>
      </c>
      <c r="AK51" s="45">
        <f>SUM(M50:M61)</f>
        <v>748.12844378077193</v>
      </c>
    </row>
    <row r="52" spans="1:37" x14ac:dyDescent="0.25">
      <c r="A52" s="28">
        <v>38</v>
      </c>
      <c r="B52" s="33">
        <v>45170</v>
      </c>
      <c r="C52" s="31">
        <f t="shared" si="0"/>
        <v>4166.666666666667</v>
      </c>
      <c r="D52" s="31">
        <f t="shared" si="7"/>
        <v>3789.5031218819067</v>
      </c>
      <c r="E52" s="31">
        <f t="shared" si="4"/>
        <v>3874.4089292376611</v>
      </c>
      <c r="F52" s="31">
        <f t="shared" si="8"/>
        <v>81362.587513990962</v>
      </c>
      <c r="G52" s="31">
        <f t="shared" si="9"/>
        <v>212.84796637366944</v>
      </c>
      <c r="H52" s="32">
        <f t="shared" si="10"/>
        <v>85352.034515841442</v>
      </c>
      <c r="I52" s="29"/>
      <c r="J52" s="28">
        <v>26</v>
      </c>
      <c r="K52" s="31">
        <f t="shared" si="11"/>
        <v>4583.333333333333</v>
      </c>
      <c r="L52" s="31">
        <f t="shared" si="12"/>
        <v>4295.2409341167322</v>
      </c>
      <c r="M52" s="31">
        <f t="shared" si="6"/>
        <v>101.84766585591082</v>
      </c>
      <c r="N52" s="32">
        <f t="shared" si="13"/>
        <v>40840.914008220236</v>
      </c>
      <c r="P52" s="115"/>
      <c r="Q52" s="116"/>
      <c r="R52" s="116" t="s">
        <v>1</v>
      </c>
      <c r="S52" s="40"/>
      <c r="T52" s="40"/>
      <c r="U52" s="40"/>
      <c r="V52" s="40" t="s">
        <v>31</v>
      </c>
      <c r="W52" s="70">
        <f>SUM(C50:C61)</f>
        <v>49999.999999999993</v>
      </c>
      <c r="X52" s="28"/>
      <c r="Y52" s="87" t="s">
        <v>1</v>
      </c>
      <c r="Z52" s="42">
        <v>5233024</v>
      </c>
      <c r="AA52" s="42"/>
      <c r="AB52" s="42" t="s">
        <v>152</v>
      </c>
      <c r="AC52" s="42" t="s">
        <v>173</v>
      </c>
      <c r="AD52" s="95">
        <f>AD50-AD51</f>
        <v>54251.871556219237</v>
      </c>
      <c r="AE52" s="28"/>
      <c r="AF52" s="101" t="s">
        <v>1</v>
      </c>
      <c r="AG52" s="43"/>
      <c r="AH52" s="43"/>
      <c r="AI52" s="43"/>
      <c r="AJ52" s="43" t="s">
        <v>31</v>
      </c>
      <c r="AK52" s="45">
        <f>SUM(K50:K61)</f>
        <v>55000.000000000007</v>
      </c>
    </row>
    <row r="53" spans="1:37" x14ac:dyDescent="0.25">
      <c r="A53" s="28">
        <v>39</v>
      </c>
      <c r="B53" s="33">
        <v>45200</v>
      </c>
      <c r="C53" s="31">
        <f t="shared" si="0"/>
        <v>4166.666666666667</v>
      </c>
      <c r="D53" s="31">
        <f t="shared" si="7"/>
        <v>3780.0529894083857</v>
      </c>
      <c r="E53" s="31">
        <f t="shared" si="4"/>
        <v>3874.4089292376611</v>
      </c>
      <c r="F53" s="31">
        <f t="shared" si="8"/>
        <v>77488.178584753303</v>
      </c>
      <c r="G53" s="31">
        <f t="shared" si="9"/>
        <v>202.96341962293693</v>
      </c>
      <c r="H53" s="32">
        <f t="shared" si="10"/>
        <v>81388.331268797701</v>
      </c>
      <c r="I53" s="29"/>
      <c r="J53" s="28">
        <v>27</v>
      </c>
      <c r="K53" s="31">
        <f t="shared" si="11"/>
        <v>4583.333333333333</v>
      </c>
      <c r="L53" s="31">
        <f t="shared" si="12"/>
        <v>4284.5296100915039</v>
      </c>
      <c r="M53" s="31">
        <f t="shared" si="6"/>
        <v>90.643951687217253</v>
      </c>
      <c r="N53" s="32">
        <f t="shared" si="13"/>
        <v>36348.22462657412</v>
      </c>
      <c r="P53" s="115" t="s">
        <v>148</v>
      </c>
      <c r="Q53" s="116"/>
      <c r="R53" s="116"/>
      <c r="S53" s="40"/>
      <c r="T53" s="40"/>
      <c r="U53" s="40"/>
      <c r="V53" s="40"/>
      <c r="W53" s="81"/>
      <c r="X53" s="28"/>
      <c r="Y53" s="87" t="s">
        <v>268</v>
      </c>
      <c r="Z53" s="42"/>
      <c r="AA53" s="42"/>
      <c r="AB53" s="42"/>
      <c r="AC53" s="42"/>
      <c r="AD53" s="91"/>
      <c r="AE53" s="28"/>
      <c r="AF53" s="101" t="s">
        <v>153</v>
      </c>
      <c r="AG53" s="43"/>
      <c r="AH53" s="43"/>
      <c r="AI53" s="43"/>
      <c r="AJ53" s="43"/>
      <c r="AK53" s="44"/>
    </row>
    <row r="54" spans="1:37" x14ac:dyDescent="0.25">
      <c r="A54" s="28">
        <v>40</v>
      </c>
      <c r="B54" s="33">
        <v>45231</v>
      </c>
      <c r="C54" s="31">
        <f t="shared" si="0"/>
        <v>4166.666666666667</v>
      </c>
      <c r="D54" s="31">
        <f t="shared" si="7"/>
        <v>3770.6264233500106</v>
      </c>
      <c r="E54" s="31">
        <f t="shared" si="4"/>
        <v>3874.4089292376611</v>
      </c>
      <c r="F54" s="31">
        <f t="shared" si="8"/>
        <v>73613.769655515644</v>
      </c>
      <c r="G54" s="31">
        <f t="shared" si="9"/>
        <v>193.05416150532758</v>
      </c>
      <c r="H54" s="32">
        <f t="shared" si="10"/>
        <v>77414.718763636352</v>
      </c>
      <c r="I54" s="29"/>
      <c r="J54" s="28">
        <v>28</v>
      </c>
      <c r="K54" s="31">
        <f t="shared" si="11"/>
        <v>4583.333333333333</v>
      </c>
      <c r="L54" s="31">
        <f t="shared" si="12"/>
        <v>4273.84499759751</v>
      </c>
      <c r="M54" s="31">
        <f t="shared" si="6"/>
        <v>79.41222823310197</v>
      </c>
      <c r="N54" s="32">
        <f t="shared" si="13"/>
        <v>31844.303521473888</v>
      </c>
      <c r="P54" s="115"/>
      <c r="Q54" s="116"/>
      <c r="R54" s="116"/>
      <c r="S54" s="40"/>
      <c r="T54" s="40"/>
      <c r="U54" s="40"/>
      <c r="V54" s="40"/>
      <c r="W54" s="81"/>
      <c r="X54" s="28"/>
      <c r="Y54" s="87"/>
      <c r="Z54" s="42"/>
      <c r="AA54" s="42"/>
      <c r="AB54" s="42"/>
      <c r="AC54" s="42"/>
      <c r="AD54" s="91"/>
      <c r="AE54" s="28"/>
      <c r="AF54" s="101"/>
      <c r="AG54" s="43"/>
      <c r="AH54" s="43"/>
      <c r="AI54" s="43"/>
      <c r="AJ54" s="43"/>
      <c r="AK54" s="44"/>
    </row>
    <row r="55" spans="1:37" x14ac:dyDescent="0.25">
      <c r="A55" s="28">
        <v>41</v>
      </c>
      <c r="B55" s="33">
        <v>45261</v>
      </c>
      <c r="C55" s="31">
        <f t="shared" si="0"/>
        <v>4166.666666666667</v>
      </c>
      <c r="D55" s="31">
        <f t="shared" si="7"/>
        <v>3761.2233649376667</v>
      </c>
      <c r="E55" s="31">
        <f t="shared" si="4"/>
        <v>3874.4089292376611</v>
      </c>
      <c r="F55" s="31">
        <f t="shared" si="8"/>
        <v>69739.360726277984</v>
      </c>
      <c r="G55" s="31">
        <f t="shared" si="9"/>
        <v>183.12013024242421</v>
      </c>
      <c r="H55" s="32">
        <f t="shared" si="10"/>
        <v>73431.172227212111</v>
      </c>
      <c r="I55" s="29"/>
      <c r="J55" s="28">
        <v>29</v>
      </c>
      <c r="K55" s="31">
        <f t="shared" si="11"/>
        <v>4583.333333333333</v>
      </c>
      <c r="L55" s="31">
        <f t="shared" si="12"/>
        <v>4263.1870300224527</v>
      </c>
      <c r="M55" s="31">
        <f t="shared" si="6"/>
        <v>68.152425470351389</v>
      </c>
      <c r="N55" s="32">
        <f t="shared" si="13"/>
        <v>27329.122613610907</v>
      </c>
      <c r="P55" s="115" t="s">
        <v>137</v>
      </c>
      <c r="Q55" s="116"/>
      <c r="R55" s="116"/>
      <c r="S55" s="40"/>
      <c r="T55" s="40"/>
      <c r="U55" s="40"/>
      <c r="V55" s="40"/>
      <c r="W55" s="81"/>
      <c r="X55" s="28"/>
      <c r="Y55" s="87"/>
      <c r="Z55" s="42"/>
      <c r="AA55" s="42"/>
      <c r="AB55" s="42"/>
      <c r="AC55" s="42"/>
      <c r="AD55" s="91"/>
      <c r="AE55" s="28"/>
      <c r="AF55" s="101" t="s">
        <v>0</v>
      </c>
      <c r="AG55" s="43">
        <v>2241002</v>
      </c>
      <c r="AH55" s="43"/>
      <c r="AI55" s="43"/>
      <c r="AJ55" s="43" t="s">
        <v>251</v>
      </c>
      <c r="AK55" s="45">
        <f>+N$25/3</f>
        <v>52666.214427610372</v>
      </c>
    </row>
    <row r="56" spans="1:37" x14ac:dyDescent="0.25">
      <c r="A56" s="28">
        <v>42</v>
      </c>
      <c r="B56" s="33">
        <v>45292</v>
      </c>
      <c r="C56" s="31">
        <f t="shared" si="0"/>
        <v>4166.666666666667</v>
      </c>
      <c r="D56" s="31">
        <f t="shared" si="7"/>
        <v>3751.8437555487953</v>
      </c>
      <c r="E56" s="31">
        <f t="shared" si="4"/>
        <v>3874.4089292376611</v>
      </c>
      <c r="F56" s="31">
        <f t="shared" si="8"/>
        <v>65864.951797040325</v>
      </c>
      <c r="G56" s="31">
        <f t="shared" si="9"/>
        <v>173.16126390136361</v>
      </c>
      <c r="H56" s="32">
        <f t="shared" si="10"/>
        <v>69437.666824446802</v>
      </c>
      <c r="I56" s="29"/>
      <c r="J56" s="28">
        <v>30</v>
      </c>
      <c r="K56" s="31">
        <f t="shared" si="11"/>
        <v>4583.333333333333</v>
      </c>
      <c r="L56" s="31">
        <f t="shared" si="12"/>
        <v>4252.5556409201545</v>
      </c>
      <c r="M56" s="31">
        <f t="shared" si="6"/>
        <v>56.864473200693936</v>
      </c>
      <c r="N56" s="32">
        <f t="shared" si="13"/>
        <v>22802.653753478269</v>
      </c>
      <c r="P56" s="115" t="s">
        <v>335</v>
      </c>
      <c r="Q56" s="116"/>
      <c r="R56" s="116"/>
      <c r="S56" s="40"/>
      <c r="T56" s="40"/>
      <c r="U56" s="40"/>
      <c r="V56" s="40"/>
      <c r="W56" s="81"/>
      <c r="X56" s="28"/>
      <c r="Y56" s="87"/>
      <c r="Z56" s="42"/>
      <c r="AA56" s="42"/>
      <c r="AB56" s="42"/>
      <c r="AC56" s="42"/>
      <c r="AD56" s="91"/>
      <c r="AE56" s="28"/>
      <c r="AF56" s="101" t="s">
        <v>1</v>
      </c>
      <c r="AG56" s="43">
        <v>5311002</v>
      </c>
      <c r="AH56" s="43">
        <v>7353</v>
      </c>
      <c r="AI56" s="43" t="s">
        <v>151</v>
      </c>
      <c r="AJ56" s="43" t="s">
        <v>105</v>
      </c>
      <c r="AK56" s="45">
        <f>AK55</f>
        <v>52666.214427610372</v>
      </c>
    </row>
    <row r="57" spans="1:37" x14ac:dyDescent="0.25">
      <c r="A57" s="28">
        <v>43</v>
      </c>
      <c r="B57" s="33">
        <v>45323</v>
      </c>
      <c r="C57" s="31">
        <f t="shared" si="0"/>
        <v>4166.666666666667</v>
      </c>
      <c r="D57" s="31">
        <f t="shared" si="7"/>
        <v>3742.4875367070281</v>
      </c>
      <c r="E57" s="31">
        <f t="shared" si="4"/>
        <v>3874.4089292376611</v>
      </c>
      <c r="F57" s="31">
        <f t="shared" si="8"/>
        <v>61990.542867802666</v>
      </c>
      <c r="G57" s="31">
        <f t="shared" si="9"/>
        <v>163.17750039445033</v>
      </c>
      <c r="H57" s="32">
        <f t="shared" si="10"/>
        <v>65434.177658174587</v>
      </c>
      <c r="I57" s="29"/>
      <c r="J57" s="28">
        <v>31</v>
      </c>
      <c r="K57" s="31">
        <f t="shared" si="11"/>
        <v>4583.333333333333</v>
      </c>
      <c r="L57" s="31">
        <f t="shared" si="12"/>
        <v>4241.9507640101292</v>
      </c>
      <c r="M57" s="31">
        <f t="shared" si="6"/>
        <v>45.54830105036234</v>
      </c>
      <c r="N57" s="32">
        <f t="shared" si="13"/>
        <v>18264.8687211953</v>
      </c>
      <c r="P57" s="115"/>
      <c r="Q57" s="116"/>
      <c r="R57" s="116"/>
      <c r="S57" s="40"/>
      <c r="T57" s="40"/>
      <c r="U57" s="40"/>
      <c r="V57" s="40"/>
      <c r="W57" s="81"/>
      <c r="X57" s="28"/>
      <c r="Y57" s="87"/>
      <c r="Z57" s="42"/>
      <c r="AA57" s="42"/>
      <c r="AB57" s="42"/>
      <c r="AC57" s="42"/>
      <c r="AD57" s="91"/>
      <c r="AE57" s="28"/>
      <c r="AF57" s="101" t="s">
        <v>191</v>
      </c>
      <c r="AG57" s="43"/>
      <c r="AH57" s="43"/>
      <c r="AI57" s="43"/>
      <c r="AJ57" s="43"/>
      <c r="AK57" s="44"/>
    </row>
    <row r="58" spans="1:37" x14ac:dyDescent="0.25">
      <c r="A58" s="28">
        <v>44</v>
      </c>
      <c r="B58" s="33">
        <v>45352</v>
      </c>
      <c r="C58" s="31">
        <f t="shared" si="0"/>
        <v>4166.666666666667</v>
      </c>
      <c r="D58" s="31">
        <f t="shared" si="7"/>
        <v>3733.1546500818235</v>
      </c>
      <c r="E58" s="31">
        <f t="shared" si="4"/>
        <v>3874.4089292376611</v>
      </c>
      <c r="F58" s="31">
        <f t="shared" si="8"/>
        <v>58116.133938565006</v>
      </c>
      <c r="G58" s="31">
        <f t="shared" si="9"/>
        <v>153.16877747876981</v>
      </c>
      <c r="H58" s="32">
        <f t="shared" si="10"/>
        <v>61420.679768986694</v>
      </c>
      <c r="I58" s="29"/>
      <c r="J58" s="28">
        <v>32</v>
      </c>
      <c r="K58" s="31">
        <f t="shared" si="11"/>
        <v>4583.333333333333</v>
      </c>
      <c r="L58" s="31">
        <f t="shared" si="12"/>
        <v>4231.3723331771853</v>
      </c>
      <c r="M58" s="31">
        <f t="shared" si="6"/>
        <v>34.203838469654919</v>
      </c>
      <c r="N58" s="32">
        <f t="shared" si="13"/>
        <v>13715.739226331623</v>
      </c>
      <c r="P58" s="115"/>
      <c r="Q58" s="116"/>
      <c r="R58" s="116"/>
      <c r="S58" s="40"/>
      <c r="T58" s="40"/>
      <c r="U58" s="40"/>
      <c r="V58" s="40"/>
      <c r="W58" s="81"/>
      <c r="X58" s="28"/>
      <c r="Y58" s="87"/>
      <c r="Z58" s="42"/>
      <c r="AA58" s="42"/>
      <c r="AB58" s="42"/>
      <c r="AC58" s="42"/>
      <c r="AD58" s="91"/>
      <c r="AE58" s="28"/>
      <c r="AF58" s="101"/>
      <c r="AG58" s="43"/>
      <c r="AH58" s="43"/>
      <c r="AI58" s="43"/>
      <c r="AJ58" s="43"/>
      <c r="AK58" s="44"/>
    </row>
    <row r="59" spans="1:37" x14ac:dyDescent="0.25">
      <c r="A59" s="28">
        <v>45</v>
      </c>
      <c r="B59" s="33">
        <v>45383</v>
      </c>
      <c r="C59" s="31">
        <f t="shared" si="0"/>
        <v>4166.666666666667</v>
      </c>
      <c r="D59" s="31">
        <f t="shared" si="7"/>
        <v>3723.8450374881027</v>
      </c>
      <c r="E59" s="31">
        <f t="shared" si="4"/>
        <v>3874.4089292376611</v>
      </c>
      <c r="F59" s="31">
        <f t="shared" si="8"/>
        <v>54241.725009327347</v>
      </c>
      <c r="G59" s="31">
        <f t="shared" si="9"/>
        <v>143.13503275580007</v>
      </c>
      <c r="H59" s="32">
        <f t="shared" si="10"/>
        <v>57397.148135075833</v>
      </c>
      <c r="I59" s="29"/>
      <c r="J59" s="28">
        <v>33</v>
      </c>
      <c r="K59" s="31">
        <f t="shared" si="11"/>
        <v>4583.333333333333</v>
      </c>
      <c r="L59" s="31">
        <f t="shared" si="12"/>
        <v>4220.8202824710079</v>
      </c>
      <c r="M59" s="31">
        <f t="shared" si="6"/>
        <v>22.831014732495724</v>
      </c>
      <c r="N59" s="32">
        <f t="shared" si="13"/>
        <v>9155.2369077307849</v>
      </c>
      <c r="P59" s="115"/>
      <c r="Q59" s="116"/>
      <c r="R59" s="116"/>
      <c r="S59" s="40"/>
      <c r="T59" s="40"/>
      <c r="U59" s="40"/>
      <c r="V59" s="40"/>
      <c r="W59" s="81"/>
      <c r="X59" s="28"/>
      <c r="Y59" s="87"/>
      <c r="Z59" s="42"/>
      <c r="AA59" s="42"/>
      <c r="AB59" s="42"/>
      <c r="AC59" s="42"/>
      <c r="AD59" s="91"/>
      <c r="AE59" s="28"/>
      <c r="AF59" s="101"/>
      <c r="AG59" s="43"/>
      <c r="AH59" s="43"/>
      <c r="AI59" s="43"/>
      <c r="AJ59" s="43"/>
      <c r="AK59" s="44"/>
    </row>
    <row r="60" spans="1:37" x14ac:dyDescent="0.25">
      <c r="A60" s="28">
        <v>46</v>
      </c>
      <c r="B60" s="33">
        <v>45413</v>
      </c>
      <c r="C60" s="31">
        <f t="shared" si="0"/>
        <v>4166.666666666667</v>
      </c>
      <c r="D60" s="31">
        <f t="shared" si="7"/>
        <v>3714.5586408858894</v>
      </c>
      <c r="E60" s="31">
        <f t="shared" si="4"/>
        <v>3874.4089292376611</v>
      </c>
      <c r="F60" s="31">
        <f t="shared" si="8"/>
        <v>50367.316080089688</v>
      </c>
      <c r="G60" s="31">
        <f t="shared" si="9"/>
        <v>133.07620367102294</v>
      </c>
      <c r="H60" s="32">
        <f t="shared" si="10"/>
        <v>53363.557672080191</v>
      </c>
      <c r="I60" s="29"/>
      <c r="J60" s="28">
        <v>34</v>
      </c>
      <c r="K60" s="31">
        <f t="shared" si="11"/>
        <v>4583.333333333333</v>
      </c>
      <c r="L60" s="31">
        <f t="shared" si="12"/>
        <v>4210.2945461057443</v>
      </c>
      <c r="M60" s="31">
        <f t="shared" si="6"/>
        <v>11.429758935993631</v>
      </c>
      <c r="N60" s="32">
        <f t="shared" si="13"/>
        <v>4583.3333333334458</v>
      </c>
      <c r="P60" s="115"/>
      <c r="Q60" s="116"/>
      <c r="R60" s="116"/>
      <c r="S60" s="40"/>
      <c r="T60" s="40"/>
      <c r="U60" s="40"/>
      <c r="V60" s="40"/>
      <c r="W60" s="81"/>
      <c r="X60" s="28"/>
      <c r="Y60" s="87"/>
      <c r="Z60" s="42"/>
      <c r="AA60" s="42"/>
      <c r="AB60" s="42"/>
      <c r="AC60" s="42"/>
      <c r="AD60" s="91"/>
      <c r="AE60" s="28"/>
      <c r="AF60" s="101"/>
      <c r="AG60" s="43"/>
      <c r="AH60" s="43"/>
      <c r="AI60" s="43"/>
      <c r="AJ60" s="43"/>
      <c r="AK60" s="44"/>
    </row>
    <row r="61" spans="1:37" ht="15.75" thickBot="1" x14ac:dyDescent="0.3">
      <c r="A61" s="28">
        <v>47</v>
      </c>
      <c r="B61" s="33">
        <v>45444</v>
      </c>
      <c r="C61" s="31">
        <f t="shared" si="0"/>
        <v>4166.666666666667</v>
      </c>
      <c r="D61" s="31">
        <f>+C61/(1+F$1)^A61</f>
        <v>3705.2954023799398</v>
      </c>
      <c r="E61" s="31">
        <f t="shared" si="4"/>
        <v>3874.4089292376611</v>
      </c>
      <c r="F61" s="30">
        <f t="shared" si="8"/>
        <v>46492.907150852028</v>
      </c>
      <c r="G61" s="31">
        <f t="shared" si="9"/>
        <v>122.99222751353382</v>
      </c>
      <c r="H61" s="32">
        <f t="shared" si="10"/>
        <v>49319.883232927059</v>
      </c>
      <c r="I61" s="29"/>
      <c r="J61" s="28">
        <v>35</v>
      </c>
      <c r="K61" s="31">
        <f t="shared" si="11"/>
        <v>4583.333333333333</v>
      </c>
      <c r="L61" s="31">
        <f>+K61/(1+F$1)^J61</f>
        <v>4199.7950584595956</v>
      </c>
      <c r="M61" s="31">
        <f t="shared" si="6"/>
        <v>2.8194335754960775E-13</v>
      </c>
      <c r="N61" s="32">
        <f t="shared" si="13"/>
        <v>1.1305928637739271E-10</v>
      </c>
      <c r="P61" s="136"/>
      <c r="Q61" s="137"/>
      <c r="R61" s="137"/>
      <c r="S61" s="47"/>
      <c r="T61" s="47"/>
      <c r="U61" s="47"/>
      <c r="V61" s="47"/>
      <c r="W61" s="82"/>
      <c r="X61" s="28"/>
      <c r="Y61" s="87"/>
      <c r="Z61" s="42"/>
      <c r="AA61" s="42"/>
      <c r="AB61" s="42"/>
      <c r="AC61" s="42"/>
      <c r="AD61" s="91"/>
      <c r="AE61" s="28"/>
      <c r="AF61" s="101"/>
      <c r="AG61" s="43"/>
      <c r="AH61" s="43"/>
      <c r="AI61" s="43"/>
      <c r="AJ61" s="43"/>
      <c r="AK61" s="44"/>
    </row>
    <row r="62" spans="1:37" x14ac:dyDescent="0.25">
      <c r="A62" s="28">
        <v>48</v>
      </c>
      <c r="B62" s="33">
        <v>45474</v>
      </c>
      <c r="C62" s="31">
        <f t="shared" si="0"/>
        <v>4166.666666666667</v>
      </c>
      <c r="D62" s="31">
        <f t="shared" si="7"/>
        <v>3696.0552642193902</v>
      </c>
      <c r="E62" s="31">
        <f t="shared" si="4"/>
        <v>3874.4089292376611</v>
      </c>
      <c r="F62" s="31">
        <f t="shared" si="8"/>
        <v>42618.498221614369</v>
      </c>
      <c r="G62" s="31">
        <f t="shared" si="9"/>
        <v>112.88304141565099</v>
      </c>
      <c r="H62" s="32">
        <f t="shared" si="10"/>
        <v>45266.099607676049</v>
      </c>
      <c r="I62" s="29"/>
      <c r="J62" s="28"/>
      <c r="K62" s="30">
        <f>SUM(K26:K61)</f>
        <v>165000.00000000003</v>
      </c>
      <c r="L62" s="30">
        <f t="shared" ref="L62:M62" si="14">SUM(L26:L61)</f>
        <v>157998.64328283112</v>
      </c>
      <c r="M62" s="30">
        <f t="shared" si="14"/>
        <v>7001.3567171690102</v>
      </c>
      <c r="N62" s="34"/>
      <c r="P62" s="115" t="s">
        <v>118</v>
      </c>
      <c r="Q62" s="116" t="s">
        <v>141</v>
      </c>
      <c r="R62" s="116" t="s">
        <v>0</v>
      </c>
      <c r="S62" s="51">
        <v>2241002</v>
      </c>
      <c r="T62" s="51"/>
      <c r="U62" s="51"/>
      <c r="V62" s="51" t="s">
        <v>251</v>
      </c>
      <c r="W62" s="70">
        <f>SUM(E62:E73)</f>
        <v>46492.907150851919</v>
      </c>
      <c r="X62" s="28"/>
      <c r="Y62" s="89"/>
      <c r="Z62" s="54"/>
      <c r="AA62" s="54"/>
      <c r="AB62" s="54"/>
      <c r="AC62" s="54"/>
      <c r="AD62" s="90"/>
      <c r="AE62" s="28"/>
      <c r="AF62" s="100"/>
      <c r="AG62" s="55"/>
      <c r="AH62" s="55"/>
      <c r="AI62" s="55"/>
      <c r="AJ62" s="55"/>
      <c r="AK62" s="56"/>
    </row>
    <row r="63" spans="1:37" x14ac:dyDescent="0.25">
      <c r="A63" s="28">
        <v>49</v>
      </c>
      <c r="B63" s="33">
        <v>45505</v>
      </c>
      <c r="C63" s="31">
        <f t="shared" si="0"/>
        <v>4166.666666666667</v>
      </c>
      <c r="D63" s="31">
        <f t="shared" si="7"/>
        <v>3686.8381687973979</v>
      </c>
      <c r="E63" s="31">
        <f t="shared" si="4"/>
        <v>3874.4089292376611</v>
      </c>
      <c r="F63" s="31">
        <f t="shared" si="8"/>
        <v>38744.08929237671</v>
      </c>
      <c r="G63" s="31">
        <f t="shared" si="9"/>
        <v>102.74858235252347</v>
      </c>
      <c r="H63" s="32">
        <f t="shared" si="10"/>
        <v>41202.181523361905</v>
      </c>
      <c r="I63" s="29"/>
      <c r="J63" s="28"/>
      <c r="K63" s="31"/>
      <c r="L63" s="31"/>
      <c r="M63" s="31"/>
      <c r="N63" s="32"/>
      <c r="P63" s="115"/>
      <c r="Q63" s="116"/>
      <c r="R63" s="116" t="s">
        <v>1</v>
      </c>
      <c r="S63" s="40">
        <v>5311002</v>
      </c>
      <c r="T63" s="40">
        <v>7353</v>
      </c>
      <c r="U63" s="40"/>
      <c r="V63" s="40" t="s">
        <v>105</v>
      </c>
      <c r="W63" s="70">
        <f>W62</f>
        <v>46492.907150851919</v>
      </c>
      <c r="X63" s="28"/>
      <c r="Y63" s="87"/>
      <c r="Z63" s="42"/>
      <c r="AA63" s="42"/>
      <c r="AB63" s="42"/>
      <c r="AC63" s="42"/>
      <c r="AD63" s="91"/>
      <c r="AE63" s="28"/>
      <c r="AF63" s="101"/>
      <c r="AG63" s="43"/>
      <c r="AH63" s="43"/>
      <c r="AI63" s="43"/>
      <c r="AJ63" s="43"/>
      <c r="AK63" s="44"/>
    </row>
    <row r="64" spans="1:37" x14ac:dyDescent="0.25">
      <c r="A64" s="28">
        <v>50</v>
      </c>
      <c r="B64" s="33">
        <v>45536</v>
      </c>
      <c r="C64" s="31">
        <f t="shared" si="0"/>
        <v>4166.666666666667</v>
      </c>
      <c r="D64" s="31">
        <f t="shared" si="7"/>
        <v>3677.6440586507701</v>
      </c>
      <c r="E64" s="31">
        <f t="shared" si="4"/>
        <v>3874.4089292376611</v>
      </c>
      <c r="F64" s="31">
        <f t="shared" si="8"/>
        <v>34869.68036313905</v>
      </c>
      <c r="G64" s="31">
        <f t="shared" si="9"/>
        <v>92.588787141738109</v>
      </c>
      <c r="H64" s="32">
        <f t="shared" si="10"/>
        <v>37128.103643836977</v>
      </c>
      <c r="I64" s="29"/>
      <c r="J64" s="28"/>
      <c r="K64" s="31"/>
      <c r="L64" s="31"/>
      <c r="M64" s="31"/>
      <c r="N64" s="32"/>
      <c r="P64" s="115" t="s">
        <v>189</v>
      </c>
      <c r="Q64" s="116"/>
      <c r="R64" s="116"/>
      <c r="S64" s="40"/>
      <c r="T64" s="40"/>
      <c r="U64" s="40"/>
      <c r="V64" s="40"/>
      <c r="W64" s="70"/>
      <c r="X64" s="28"/>
      <c r="Y64" s="87"/>
      <c r="Z64" s="42"/>
      <c r="AA64" s="42"/>
      <c r="AB64" s="42"/>
      <c r="AC64" s="42"/>
      <c r="AD64" s="91"/>
      <c r="AE64" s="28"/>
      <c r="AF64" s="101"/>
      <c r="AG64" s="43"/>
      <c r="AH64" s="43"/>
      <c r="AI64" s="43"/>
      <c r="AJ64" s="43"/>
      <c r="AK64" s="44"/>
    </row>
    <row r="65" spans="1:37" x14ac:dyDescent="0.25">
      <c r="A65" s="28">
        <v>51</v>
      </c>
      <c r="B65" s="33">
        <v>45566</v>
      </c>
      <c r="C65" s="31">
        <f t="shared" si="0"/>
        <v>4166.666666666667</v>
      </c>
      <c r="D65" s="31">
        <f t="shared" si="7"/>
        <v>3668.4728764596216</v>
      </c>
      <c r="E65" s="31">
        <f t="shared" si="4"/>
        <v>3874.4089292376611</v>
      </c>
      <c r="F65" s="31">
        <f t="shared" si="8"/>
        <v>30995.271433901391</v>
      </c>
      <c r="G65" s="31">
        <f t="shared" si="9"/>
        <v>82.403592442925785</v>
      </c>
      <c r="H65" s="32">
        <f t="shared" si="10"/>
        <v>33043.840569613239</v>
      </c>
      <c r="I65" s="29"/>
      <c r="J65" s="28"/>
      <c r="K65" s="31"/>
      <c r="L65" s="31"/>
      <c r="M65" s="31"/>
      <c r="N65" s="32"/>
      <c r="P65" s="115"/>
      <c r="Q65" s="116"/>
      <c r="R65" s="116"/>
      <c r="S65" s="40"/>
      <c r="T65" s="40"/>
      <c r="U65" s="40"/>
      <c r="V65" s="40"/>
      <c r="W65" s="70"/>
      <c r="X65" s="28"/>
      <c r="Y65" s="87"/>
      <c r="Z65" s="42"/>
      <c r="AA65" s="42"/>
      <c r="AB65" s="42"/>
      <c r="AC65" s="42"/>
      <c r="AD65" s="91"/>
      <c r="AE65" s="28"/>
      <c r="AF65" s="101"/>
      <c r="AG65" s="43"/>
      <c r="AH65" s="43"/>
      <c r="AI65" s="43"/>
      <c r="AJ65" s="43"/>
      <c r="AK65" s="44"/>
    </row>
    <row r="66" spans="1:37" x14ac:dyDescent="0.25">
      <c r="A66" s="28">
        <v>52</v>
      </c>
      <c r="B66" s="33">
        <v>45597</v>
      </c>
      <c r="C66" s="31">
        <f t="shared" si="0"/>
        <v>4166.666666666667</v>
      </c>
      <c r="D66" s="31">
        <f t="shared" si="7"/>
        <v>3659.3245650470039</v>
      </c>
      <c r="E66" s="31">
        <f t="shared" si="4"/>
        <v>3874.4089292376611</v>
      </c>
      <c r="F66" s="31">
        <f t="shared" si="8"/>
        <v>27120.862504663732</v>
      </c>
      <c r="G66" s="31">
        <f t="shared" si="9"/>
        <v>72.19293475736643</v>
      </c>
      <c r="H66" s="32">
        <f t="shared" si="10"/>
        <v>28949.366837703939</v>
      </c>
      <c r="I66" s="29"/>
      <c r="J66" s="28"/>
      <c r="K66" s="31"/>
      <c r="L66" s="31"/>
      <c r="M66" s="31"/>
      <c r="N66" s="32"/>
      <c r="P66" s="115"/>
      <c r="Q66" s="116"/>
      <c r="R66" s="116" t="s">
        <v>0</v>
      </c>
      <c r="S66" s="40">
        <v>3240106</v>
      </c>
      <c r="T66" s="40"/>
      <c r="U66" s="40"/>
      <c r="V66" s="40" t="s">
        <v>271</v>
      </c>
      <c r="W66" s="70">
        <f>W68-W67</f>
        <v>49319.88323292655</v>
      </c>
      <c r="X66" s="28"/>
      <c r="Y66" s="87"/>
      <c r="Z66" s="42"/>
      <c r="AA66" s="42"/>
      <c r="AB66" s="42"/>
      <c r="AC66" s="42"/>
      <c r="AD66" s="91"/>
      <c r="AE66" s="28"/>
      <c r="AF66" s="101"/>
      <c r="AG66" s="43"/>
      <c r="AH66" s="43"/>
      <c r="AI66" s="43"/>
      <c r="AJ66" s="43"/>
      <c r="AK66" s="44"/>
    </row>
    <row r="67" spans="1:37" x14ac:dyDescent="0.25">
      <c r="A67" s="28">
        <v>53</v>
      </c>
      <c r="B67" s="33">
        <v>45627</v>
      </c>
      <c r="C67" s="31">
        <f t="shared" ref="C67:C73" si="15">50000/12</f>
        <v>4166.666666666667</v>
      </c>
      <c r="D67" s="31">
        <f t="shared" si="7"/>
        <v>3650.1990673785581</v>
      </c>
      <c r="E67" s="31">
        <f t="shared" si="4"/>
        <v>3874.4089292376611</v>
      </c>
      <c r="F67" s="31">
        <f t="shared" ref="F67:F73" si="16">+F66-E67</f>
        <v>23246.453575426072</v>
      </c>
      <c r="G67" s="31">
        <f t="shared" si="9"/>
        <v>61.956750427593178</v>
      </c>
      <c r="H67" s="32">
        <f t="shared" ref="H67:H73" si="17">+H66-C67+G67</f>
        <v>24844.656921464866</v>
      </c>
      <c r="I67" s="29"/>
      <c r="J67" s="28"/>
      <c r="K67" s="31"/>
      <c r="L67" s="31"/>
      <c r="M67" s="31"/>
      <c r="N67" s="32"/>
      <c r="P67" s="115"/>
      <c r="Q67" s="116"/>
      <c r="R67" s="116" t="s">
        <v>0</v>
      </c>
      <c r="S67" s="40">
        <v>2422020</v>
      </c>
      <c r="T67" s="40"/>
      <c r="U67" s="40"/>
      <c r="V67" s="40" t="s">
        <v>161</v>
      </c>
      <c r="W67" s="70">
        <f>SUM(G62:G73)</f>
        <v>680.11676707344122</v>
      </c>
      <c r="X67" s="28"/>
      <c r="Y67" s="87"/>
      <c r="Z67" s="42"/>
      <c r="AA67" s="42"/>
      <c r="AB67" s="42"/>
      <c r="AC67" s="42"/>
      <c r="AD67" s="91"/>
      <c r="AE67" s="28"/>
      <c r="AF67" s="101"/>
      <c r="AG67" s="43"/>
      <c r="AH67" s="43"/>
      <c r="AI67" s="43"/>
      <c r="AJ67" s="43"/>
      <c r="AK67" s="44"/>
    </row>
    <row r="68" spans="1:37" x14ac:dyDescent="0.25">
      <c r="A68" s="28">
        <v>54</v>
      </c>
      <c r="B68" s="33">
        <v>45658</v>
      </c>
      <c r="C68" s="31">
        <f t="shared" si="15"/>
        <v>4166.666666666667</v>
      </c>
      <c r="D68" s="31">
        <f t="shared" si="7"/>
        <v>3641.0963265621531</v>
      </c>
      <c r="E68" s="31">
        <f t="shared" si="4"/>
        <v>3874.4089292376611</v>
      </c>
      <c r="F68" s="31">
        <f t="shared" si="16"/>
        <v>19372.044646188413</v>
      </c>
      <c r="G68" s="31">
        <f t="shared" si="9"/>
        <v>51.694975636995494</v>
      </c>
      <c r="H68" s="32">
        <f t="shared" si="17"/>
        <v>20729.685230435192</v>
      </c>
      <c r="I68" s="29"/>
      <c r="J68" s="28"/>
      <c r="K68" s="31"/>
      <c r="L68" s="31"/>
      <c r="M68" s="31"/>
      <c r="N68" s="32"/>
      <c r="P68" s="115"/>
      <c r="Q68" s="116"/>
      <c r="R68" s="116" t="s">
        <v>1</v>
      </c>
      <c r="S68" s="40"/>
      <c r="T68" s="40"/>
      <c r="U68" s="40"/>
      <c r="V68" s="40" t="s">
        <v>31</v>
      </c>
      <c r="W68" s="70">
        <f>SUM(C62:C73)</f>
        <v>49999.999999999993</v>
      </c>
      <c r="X68" s="28"/>
      <c r="Y68" s="87"/>
      <c r="Z68" s="42"/>
      <c r="AA68" s="42"/>
      <c r="AB68" s="42"/>
      <c r="AC68" s="42"/>
      <c r="AD68" s="91"/>
      <c r="AE68" s="28"/>
      <c r="AF68" s="101"/>
      <c r="AG68" s="43"/>
      <c r="AH68" s="43"/>
      <c r="AI68" s="43"/>
      <c r="AJ68" s="43"/>
      <c r="AK68" s="44"/>
    </row>
    <row r="69" spans="1:37" x14ac:dyDescent="0.25">
      <c r="A69" s="28">
        <v>55</v>
      </c>
      <c r="B69" s="33">
        <v>45689</v>
      </c>
      <c r="C69" s="31">
        <f t="shared" si="15"/>
        <v>4166.666666666667</v>
      </c>
      <c r="D69" s="31">
        <f t="shared" si="7"/>
        <v>3632.0162858475346</v>
      </c>
      <c r="E69" s="31">
        <f t="shared" si="4"/>
        <v>3874.4089292376611</v>
      </c>
      <c r="F69" s="31">
        <f t="shared" si="16"/>
        <v>15497.635716950752</v>
      </c>
      <c r="G69" s="31">
        <f t="shared" si="9"/>
        <v>41.407546409421315</v>
      </c>
      <c r="H69" s="32">
        <f t="shared" si="17"/>
        <v>16604.426110177945</v>
      </c>
      <c r="I69" s="29"/>
      <c r="J69" s="28"/>
      <c r="K69" s="31"/>
      <c r="L69" s="31"/>
      <c r="M69" s="31"/>
      <c r="N69" s="32"/>
      <c r="P69" s="115" t="s">
        <v>150</v>
      </c>
      <c r="Q69" s="116"/>
      <c r="R69" s="116"/>
      <c r="S69" s="40"/>
      <c r="T69" s="40"/>
      <c r="U69" s="40"/>
      <c r="V69" s="40"/>
      <c r="W69" s="81"/>
      <c r="X69" s="28"/>
      <c r="Y69" s="87"/>
      <c r="Z69" s="42"/>
      <c r="AA69" s="42"/>
      <c r="AB69" s="42"/>
      <c r="AC69" s="42"/>
      <c r="AD69" s="91"/>
      <c r="AE69" s="28"/>
      <c r="AF69" s="101"/>
      <c r="AG69" s="43"/>
      <c r="AH69" s="43"/>
      <c r="AI69" s="43"/>
      <c r="AJ69" s="43"/>
      <c r="AK69" s="44"/>
    </row>
    <row r="70" spans="1:37" x14ac:dyDescent="0.25">
      <c r="A70" s="28">
        <v>56</v>
      </c>
      <c r="B70" s="33">
        <v>45717</v>
      </c>
      <c r="C70" s="31">
        <f t="shared" si="15"/>
        <v>4166.666666666667</v>
      </c>
      <c r="D70" s="31">
        <f t="shared" si="7"/>
        <v>3622.9588886259698</v>
      </c>
      <c r="E70" s="31">
        <f t="shared" si="4"/>
        <v>3874.4089292376611</v>
      </c>
      <c r="F70" s="31">
        <f t="shared" si="16"/>
        <v>11623.226787713091</v>
      </c>
      <c r="G70" s="31">
        <f t="shared" si="9"/>
        <v>31.094398608778192</v>
      </c>
      <c r="H70" s="32">
        <f t="shared" si="17"/>
        <v>12468.853842120056</v>
      </c>
      <c r="I70" s="29"/>
      <c r="J70" s="28"/>
      <c r="K70" s="31"/>
      <c r="L70" s="31"/>
      <c r="M70" s="31"/>
      <c r="N70" s="32"/>
      <c r="P70" s="115"/>
      <c r="Q70" s="116"/>
      <c r="R70" s="40"/>
      <c r="S70" s="40"/>
      <c r="T70" s="40"/>
      <c r="U70" s="40"/>
      <c r="V70" s="40"/>
      <c r="W70" s="81"/>
      <c r="X70" s="28"/>
      <c r="Y70" s="87"/>
      <c r="Z70" s="42"/>
      <c r="AA70" s="42"/>
      <c r="AB70" s="42"/>
      <c r="AC70" s="42"/>
      <c r="AD70" s="91"/>
      <c r="AE70" s="28"/>
      <c r="AF70" s="101"/>
      <c r="AG70" s="43"/>
      <c r="AH70" s="43"/>
      <c r="AI70" s="43"/>
      <c r="AJ70" s="43"/>
      <c r="AK70" s="44"/>
    </row>
    <row r="71" spans="1:37" x14ac:dyDescent="0.25">
      <c r="A71" s="28">
        <v>57</v>
      </c>
      <c r="B71" s="33">
        <v>45748</v>
      </c>
      <c r="C71" s="31">
        <f t="shared" si="15"/>
        <v>4166.666666666667</v>
      </c>
      <c r="D71" s="31">
        <f t="shared" si="7"/>
        <v>3613.924078429895</v>
      </c>
      <c r="E71" s="31">
        <f t="shared" si="4"/>
        <v>3874.4089292376611</v>
      </c>
      <c r="F71" s="31">
        <f t="shared" si="16"/>
        <v>7748.8178584754296</v>
      </c>
      <c r="G71" s="31">
        <f t="shared" si="9"/>
        <v>20.755467938633473</v>
      </c>
      <c r="H71" s="32">
        <f t="shared" si="17"/>
        <v>8322.9426433920235</v>
      </c>
      <c r="I71" s="29"/>
      <c r="J71" s="28"/>
      <c r="K71" s="31"/>
      <c r="L71" s="31"/>
      <c r="M71" s="31"/>
      <c r="N71" s="32"/>
      <c r="P71" s="115"/>
      <c r="Q71" s="116"/>
      <c r="R71" s="40"/>
      <c r="S71" s="40"/>
      <c r="T71" s="40"/>
      <c r="U71" s="40"/>
      <c r="V71" s="40"/>
      <c r="W71" s="81"/>
      <c r="X71" s="28"/>
      <c r="Y71" s="87"/>
      <c r="Z71" s="42"/>
      <c r="AA71" s="42"/>
      <c r="AB71" s="42"/>
      <c r="AC71" s="42"/>
      <c r="AD71" s="91"/>
      <c r="AE71" s="28"/>
      <c r="AF71" s="101"/>
      <c r="AG71" s="43"/>
      <c r="AH71" s="43"/>
      <c r="AI71" s="43"/>
      <c r="AJ71" s="43"/>
      <c r="AK71" s="44"/>
    </row>
    <row r="72" spans="1:37" x14ac:dyDescent="0.25">
      <c r="A72" s="28">
        <v>58</v>
      </c>
      <c r="B72" s="33">
        <v>45778</v>
      </c>
      <c r="C72" s="31">
        <f t="shared" si="15"/>
        <v>4166.666666666667</v>
      </c>
      <c r="D72" s="31">
        <f t="shared" si="7"/>
        <v>3604.9117989325637</v>
      </c>
      <c r="E72" s="31">
        <f t="shared" si="4"/>
        <v>3874.4089292376611</v>
      </c>
      <c r="F72" s="31">
        <f t="shared" si="16"/>
        <v>3874.4089292377685</v>
      </c>
      <c r="G72" s="31">
        <f t="shared" si="9"/>
        <v>10.390689941813392</v>
      </c>
      <c r="H72" s="32">
        <f t="shared" si="17"/>
        <v>4166.6666666671699</v>
      </c>
      <c r="I72" s="29"/>
      <c r="J72" s="28"/>
      <c r="K72" s="31"/>
      <c r="L72" s="31"/>
      <c r="M72" s="31"/>
      <c r="N72" s="32"/>
      <c r="P72" s="115"/>
      <c r="Q72" s="116"/>
      <c r="R72" s="40"/>
      <c r="S72" s="40"/>
      <c r="T72" s="40"/>
      <c r="U72" s="40"/>
      <c r="V72" s="40"/>
      <c r="W72" s="81"/>
      <c r="X72" s="28"/>
      <c r="Y72" s="87"/>
      <c r="Z72" s="42"/>
      <c r="AA72" s="42"/>
      <c r="AB72" s="42"/>
      <c r="AC72" s="42"/>
      <c r="AD72" s="91"/>
      <c r="AE72" s="28"/>
      <c r="AF72" s="101"/>
      <c r="AG72" s="43"/>
      <c r="AH72" s="43"/>
      <c r="AI72" s="43"/>
      <c r="AJ72" s="43"/>
      <c r="AK72" s="44"/>
    </row>
    <row r="73" spans="1:37" x14ac:dyDescent="0.25">
      <c r="A73" s="28">
        <v>59</v>
      </c>
      <c r="B73" s="33">
        <v>45809</v>
      </c>
      <c r="C73" s="31">
        <f t="shared" si="15"/>
        <v>4166.666666666667</v>
      </c>
      <c r="D73" s="31">
        <f>+C73/(1+F$1)^A73</f>
        <v>3595.9219939476943</v>
      </c>
      <c r="E73" s="31">
        <f t="shared" si="4"/>
        <v>3874.4089292376611</v>
      </c>
      <c r="F73" s="31">
        <f t="shared" si="16"/>
        <v>1.0732037480920553E-10</v>
      </c>
      <c r="G73" s="31">
        <f t="shared" si="9"/>
        <v>1.2573764252010733E-12</v>
      </c>
      <c r="H73" s="32">
        <f t="shared" si="17"/>
        <v>5.0420794650563043E-10</v>
      </c>
      <c r="I73" s="29"/>
      <c r="J73" s="28"/>
      <c r="K73" s="31"/>
      <c r="L73" s="31"/>
      <c r="M73" s="31"/>
      <c r="N73" s="32"/>
      <c r="P73" s="115"/>
      <c r="Q73" s="116"/>
      <c r="R73" s="40"/>
      <c r="S73" s="40"/>
      <c r="T73" s="40"/>
      <c r="U73" s="40"/>
      <c r="V73" s="40"/>
      <c r="W73" s="81"/>
      <c r="X73" s="28"/>
      <c r="Y73" s="87"/>
      <c r="Z73" s="42"/>
      <c r="AA73" s="42"/>
      <c r="AB73" s="42"/>
      <c r="AC73" s="42"/>
      <c r="AD73" s="91"/>
      <c r="AE73" s="28"/>
      <c r="AF73" s="101"/>
      <c r="AG73" s="43"/>
      <c r="AH73" s="43"/>
      <c r="AI73" s="43"/>
      <c r="AJ73" s="43"/>
      <c r="AK73" s="44"/>
    </row>
    <row r="74" spans="1:37" ht="15.75" thickBot="1" x14ac:dyDescent="0.3">
      <c r="A74" s="35"/>
      <c r="B74" s="36"/>
      <c r="C74" s="37">
        <f>SUM(C13:C73)</f>
        <v>249999.9999999998</v>
      </c>
      <c r="D74" s="37">
        <f>SUM(D13:D73)</f>
        <v>232464.53575425968</v>
      </c>
      <c r="E74" s="37">
        <f>SUM(E13:E73)</f>
        <v>232464.53575425959</v>
      </c>
      <c r="F74" s="36"/>
      <c r="G74" s="37">
        <f>SUM(G13:G73)</f>
        <v>17535.464245740633</v>
      </c>
      <c r="H74" s="38"/>
      <c r="I74" s="36"/>
      <c r="J74" s="35"/>
      <c r="K74" s="36"/>
      <c r="L74" s="36"/>
      <c r="M74" s="36"/>
      <c r="N74" s="38"/>
      <c r="P74" s="136"/>
      <c r="Q74" s="137"/>
      <c r="R74" s="47"/>
      <c r="S74" s="47"/>
      <c r="T74" s="47"/>
      <c r="U74" s="47"/>
      <c r="V74" s="47"/>
      <c r="W74" s="82"/>
      <c r="X74" s="28"/>
      <c r="Y74" s="92"/>
      <c r="Z74" s="48"/>
      <c r="AA74" s="48"/>
      <c r="AB74" s="48"/>
      <c r="AC74" s="48"/>
      <c r="AD74" s="93"/>
      <c r="AE74" s="28"/>
      <c r="AF74" s="102"/>
      <c r="AG74" s="49"/>
      <c r="AH74" s="49"/>
      <c r="AI74" s="49"/>
      <c r="AJ74" s="49"/>
      <c r="AK74" s="50"/>
    </row>
    <row r="75" spans="1:37" s="186" customFormat="1" ht="15.75" thickBot="1" x14ac:dyDescent="0.3">
      <c r="A75" s="184"/>
      <c r="B75" s="184"/>
      <c r="C75" s="185"/>
      <c r="D75" s="185"/>
      <c r="E75" s="185"/>
      <c r="F75" s="184"/>
      <c r="G75" s="185"/>
      <c r="H75" s="184"/>
      <c r="I75" s="184"/>
      <c r="J75" s="184"/>
      <c r="K75" s="184"/>
      <c r="L75" s="184"/>
      <c r="M75" s="184"/>
      <c r="N75" s="184"/>
      <c r="P75" s="187"/>
      <c r="Q75" s="187"/>
      <c r="R75" s="184"/>
      <c r="S75" s="184"/>
      <c r="T75" s="184"/>
      <c r="U75" s="184"/>
      <c r="V75" s="184"/>
      <c r="W75" s="184"/>
      <c r="X75" s="184"/>
      <c r="Y75" s="184"/>
      <c r="Z75" s="184"/>
      <c r="AA75" s="184"/>
      <c r="AB75" s="184"/>
      <c r="AC75" s="184"/>
      <c r="AD75" s="184"/>
      <c r="AE75" s="184"/>
      <c r="AF75" s="184"/>
      <c r="AG75" s="184"/>
      <c r="AH75" s="184"/>
      <c r="AI75" s="184"/>
      <c r="AJ75" s="184"/>
      <c r="AK75" s="184"/>
    </row>
    <row r="76" spans="1:37" s="186" customFormat="1" x14ac:dyDescent="0.25">
      <c r="A76" s="332" t="s">
        <v>278</v>
      </c>
      <c r="B76" s="333"/>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4"/>
    </row>
    <row r="77" spans="1:37" s="188" customFormat="1" x14ac:dyDescent="0.25">
      <c r="A77" s="317" t="s">
        <v>441</v>
      </c>
      <c r="B77" s="335"/>
      <c r="C77" s="335"/>
      <c r="D77" s="335"/>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35"/>
      <c r="AD77" s="335"/>
      <c r="AE77" s="335"/>
      <c r="AF77" s="335"/>
      <c r="AG77" s="335"/>
      <c r="AH77" s="335"/>
      <c r="AI77" s="335"/>
      <c r="AJ77" s="335"/>
      <c r="AK77" s="336"/>
    </row>
    <row r="78" spans="1:37" s="186" customFormat="1" ht="15.75" thickBot="1" x14ac:dyDescent="0.3">
      <c r="A78" s="314" t="s">
        <v>280</v>
      </c>
      <c r="B78" s="315"/>
      <c r="C78" s="315"/>
      <c r="D78" s="315"/>
      <c r="E78" s="315"/>
      <c r="F78" s="315"/>
      <c r="G78" s="315"/>
      <c r="H78" s="315"/>
      <c r="I78" s="315"/>
      <c r="J78" s="315"/>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6"/>
    </row>
    <row r="79" spans="1:37" ht="9" customHeight="1" thickBot="1" x14ac:dyDescent="0.3"/>
    <row r="80" spans="1:37" x14ac:dyDescent="0.25">
      <c r="A80" s="332" t="s">
        <v>208</v>
      </c>
      <c r="B80" s="333"/>
      <c r="C80" s="333"/>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3"/>
      <c r="AG80" s="333"/>
      <c r="AH80" s="333"/>
      <c r="AI80" s="333"/>
      <c r="AJ80" s="333"/>
      <c r="AK80" s="334"/>
    </row>
    <row r="81" spans="1:37" x14ac:dyDescent="0.25">
      <c r="A81" s="299" t="s">
        <v>215</v>
      </c>
      <c r="B81" s="300"/>
      <c r="C81" s="300"/>
      <c r="D81" s="300"/>
      <c r="E81" s="300"/>
      <c r="F81" s="300"/>
      <c r="G81" s="300"/>
      <c r="H81" s="300"/>
      <c r="I81" s="300"/>
      <c r="J81" s="300"/>
      <c r="K81" s="300"/>
      <c r="L81" s="300"/>
      <c r="M81" s="300"/>
      <c r="N81" s="300"/>
      <c r="O81" s="300"/>
      <c r="P81" s="300"/>
      <c r="Q81" s="300"/>
      <c r="R81" s="300"/>
      <c r="S81" s="300"/>
      <c r="T81" s="300"/>
      <c r="U81" s="300"/>
      <c r="V81" s="300"/>
      <c r="W81" s="300"/>
      <c r="X81" s="300"/>
      <c r="Y81" s="300"/>
      <c r="Z81" s="300"/>
      <c r="AA81" s="300"/>
      <c r="AB81" s="300"/>
      <c r="AC81" s="300"/>
      <c r="AD81" s="300"/>
      <c r="AE81" s="300"/>
      <c r="AF81" s="300"/>
      <c r="AG81" s="300"/>
      <c r="AH81" s="300"/>
      <c r="AI81" s="300"/>
      <c r="AJ81" s="300"/>
      <c r="AK81" s="301"/>
    </row>
    <row r="82" spans="1:37" x14ac:dyDescent="0.25">
      <c r="A82" s="294" t="s">
        <v>216</v>
      </c>
      <c r="B82" s="297"/>
      <c r="C82" s="297"/>
      <c r="D82" s="297"/>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8"/>
    </row>
    <row r="83" spans="1:37" x14ac:dyDescent="0.25">
      <c r="A83" s="294" t="s">
        <v>217</v>
      </c>
      <c r="B83" s="297"/>
      <c r="C83" s="297"/>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8"/>
    </row>
    <row r="84" spans="1:37" x14ac:dyDescent="0.25">
      <c r="A84" s="294" t="s">
        <v>238</v>
      </c>
      <c r="B84" s="297"/>
      <c r="C84" s="297"/>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8"/>
    </row>
    <row r="85" spans="1:37" x14ac:dyDescent="0.25">
      <c r="A85" s="337"/>
      <c r="B85" s="338"/>
      <c r="C85" s="338"/>
      <c r="D85" s="338"/>
      <c r="E85" s="338"/>
      <c r="F85" s="338"/>
      <c r="G85" s="338"/>
      <c r="H85" s="338"/>
      <c r="I85" s="338"/>
      <c r="J85" s="338"/>
      <c r="K85" s="338"/>
      <c r="L85" s="338"/>
      <c r="M85" s="338"/>
      <c r="N85" s="338"/>
      <c r="O85" s="338"/>
      <c r="P85" s="338"/>
      <c r="Q85" s="338"/>
      <c r="R85" s="338"/>
      <c r="S85" s="338"/>
      <c r="T85" s="338"/>
      <c r="U85" s="338"/>
      <c r="V85" s="338"/>
      <c r="W85" s="338"/>
      <c r="X85" s="338"/>
      <c r="Y85" s="338"/>
      <c r="Z85" s="338"/>
      <c r="AA85" s="338"/>
      <c r="AB85" s="338"/>
      <c r="AC85" s="338"/>
      <c r="AD85" s="338"/>
      <c r="AE85" s="338"/>
      <c r="AF85" s="338"/>
      <c r="AG85" s="338"/>
      <c r="AH85" s="338"/>
      <c r="AI85" s="338"/>
      <c r="AJ85" s="338"/>
      <c r="AK85" s="339"/>
    </row>
    <row r="86" spans="1:37" x14ac:dyDescent="0.25">
      <c r="A86" s="299" t="s">
        <v>415</v>
      </c>
      <c r="B86" s="330"/>
      <c r="C86" s="330"/>
      <c r="D86" s="330"/>
      <c r="E86" s="330"/>
      <c r="F86" s="330"/>
      <c r="G86" s="330"/>
      <c r="H86" s="330"/>
      <c r="I86" s="330"/>
      <c r="J86" s="330"/>
      <c r="K86" s="330"/>
      <c r="L86" s="330"/>
      <c r="M86" s="330"/>
      <c r="N86" s="330"/>
      <c r="O86" s="330"/>
      <c r="P86" s="330"/>
      <c r="Q86" s="330"/>
      <c r="R86" s="330"/>
      <c r="S86" s="330"/>
      <c r="T86" s="330"/>
      <c r="U86" s="330"/>
      <c r="V86" s="330"/>
      <c r="W86" s="330"/>
      <c r="X86" s="330"/>
      <c r="Y86" s="330"/>
      <c r="Z86" s="330"/>
      <c r="AA86" s="330"/>
      <c r="AB86" s="330"/>
      <c r="AC86" s="330"/>
      <c r="AD86" s="330"/>
      <c r="AE86" s="330"/>
      <c r="AF86" s="330"/>
      <c r="AG86" s="330"/>
      <c r="AH86" s="330"/>
      <c r="AI86" s="330"/>
      <c r="AJ86" s="330"/>
      <c r="AK86" s="331"/>
    </row>
    <row r="87" spans="1:37" ht="17.25" customHeight="1" x14ac:dyDescent="0.25">
      <c r="A87" s="294" t="s">
        <v>219</v>
      </c>
      <c r="B87" s="297"/>
      <c r="C87" s="297"/>
      <c r="D87" s="297"/>
      <c r="E87" s="297"/>
      <c r="F87" s="297"/>
      <c r="G87" s="297"/>
      <c r="H87" s="297"/>
      <c r="I87" s="297"/>
      <c r="J87" s="297"/>
      <c r="K87" s="297"/>
      <c r="L87" s="297"/>
      <c r="M87" s="297"/>
      <c r="N87" s="297"/>
      <c r="O87" s="297"/>
      <c r="P87" s="297"/>
      <c r="Q87" s="297"/>
      <c r="R87" s="297"/>
      <c r="S87" s="297"/>
      <c r="T87" s="297"/>
      <c r="U87" s="297"/>
      <c r="V87" s="297"/>
      <c r="W87" s="297"/>
      <c r="X87" s="297"/>
      <c r="Y87" s="297"/>
      <c r="Z87" s="297"/>
      <c r="AA87" s="297"/>
      <c r="AB87" s="297"/>
      <c r="AC87" s="297"/>
      <c r="AD87" s="297"/>
      <c r="AE87" s="297"/>
      <c r="AF87" s="297"/>
      <c r="AG87" s="297"/>
      <c r="AH87" s="297"/>
      <c r="AI87" s="297"/>
      <c r="AJ87" s="297"/>
      <c r="AK87" s="298"/>
    </row>
    <row r="88" spans="1:37" x14ac:dyDescent="0.25">
      <c r="A88" s="299" t="s">
        <v>36</v>
      </c>
      <c r="B88" s="330"/>
      <c r="C88" s="330"/>
      <c r="D88" s="330"/>
      <c r="E88" s="330"/>
      <c r="F88" s="330"/>
      <c r="G88" s="330"/>
      <c r="H88" s="330"/>
      <c r="I88" s="330"/>
      <c r="J88" s="330"/>
      <c r="K88" s="330"/>
      <c r="L88" s="330"/>
      <c r="M88" s="330"/>
      <c r="N88" s="330"/>
      <c r="O88" s="330"/>
      <c r="P88" s="330"/>
      <c r="Q88" s="330"/>
      <c r="R88" s="330"/>
      <c r="S88" s="330"/>
      <c r="T88" s="330"/>
      <c r="U88" s="330"/>
      <c r="V88" s="330"/>
      <c r="W88" s="330"/>
      <c r="X88" s="330"/>
      <c r="Y88" s="330"/>
      <c r="Z88" s="330"/>
      <c r="AA88" s="330"/>
      <c r="AB88" s="330"/>
      <c r="AC88" s="330"/>
      <c r="AD88" s="330"/>
      <c r="AE88" s="330"/>
      <c r="AF88" s="330"/>
      <c r="AG88" s="330"/>
      <c r="AH88" s="330"/>
      <c r="AI88" s="330"/>
      <c r="AJ88" s="330"/>
      <c r="AK88" s="331"/>
    </row>
    <row r="89" spans="1:37" x14ac:dyDescent="0.25">
      <c r="A89" s="294" t="s">
        <v>220</v>
      </c>
      <c r="B89" s="297"/>
      <c r="C89" s="297"/>
      <c r="D89" s="297"/>
      <c r="E89" s="297"/>
      <c r="F89" s="297"/>
      <c r="G89" s="297"/>
      <c r="H89" s="297"/>
      <c r="I89" s="297"/>
      <c r="J89" s="297"/>
      <c r="K89" s="297"/>
      <c r="L89" s="297"/>
      <c r="M89" s="297"/>
      <c r="N89" s="297"/>
      <c r="O89" s="297"/>
      <c r="P89" s="297"/>
      <c r="Q89" s="297"/>
      <c r="R89" s="297"/>
      <c r="S89" s="297"/>
      <c r="T89" s="297"/>
      <c r="U89" s="297"/>
      <c r="V89" s="297"/>
      <c r="W89" s="297"/>
      <c r="X89" s="297"/>
      <c r="Y89" s="297"/>
      <c r="Z89" s="297"/>
      <c r="AA89" s="297"/>
      <c r="AB89" s="297"/>
      <c r="AC89" s="297"/>
      <c r="AD89" s="297"/>
      <c r="AE89" s="297"/>
      <c r="AF89" s="297"/>
      <c r="AG89" s="297"/>
      <c r="AH89" s="297"/>
      <c r="AI89" s="297"/>
      <c r="AJ89" s="297"/>
      <c r="AK89" s="298"/>
    </row>
    <row r="90" spans="1:37" x14ac:dyDescent="0.25">
      <c r="A90" s="294" t="s">
        <v>239</v>
      </c>
      <c r="B90" s="297"/>
      <c r="C90" s="297"/>
      <c r="D90" s="297"/>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8"/>
    </row>
    <row r="91" spans="1:37" x14ac:dyDescent="0.25">
      <c r="A91" s="337"/>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9"/>
    </row>
    <row r="92" spans="1:37" x14ac:dyDescent="0.25">
      <c r="A92" s="294" t="s">
        <v>228</v>
      </c>
      <c r="B92" s="297"/>
      <c r="C92" s="297"/>
      <c r="D92" s="297"/>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8"/>
    </row>
    <row r="93" spans="1:37" x14ac:dyDescent="0.25">
      <c r="A93" s="294" t="s">
        <v>225</v>
      </c>
      <c r="B93" s="297"/>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8"/>
    </row>
    <row r="94" spans="1:37" ht="15.75" thickBot="1" x14ac:dyDescent="0.3">
      <c r="A94" s="350"/>
      <c r="B94" s="351"/>
      <c r="C94" s="351"/>
      <c r="D94" s="351"/>
      <c r="E94" s="351"/>
      <c r="F94" s="351"/>
      <c r="G94" s="351"/>
      <c r="H94" s="351"/>
      <c r="I94" s="351"/>
      <c r="J94" s="351"/>
      <c r="K94" s="351"/>
      <c r="L94" s="351"/>
      <c r="M94" s="351"/>
      <c r="N94" s="351"/>
      <c r="O94" s="351"/>
      <c r="P94" s="351"/>
      <c r="Q94" s="351"/>
      <c r="R94" s="351"/>
      <c r="S94" s="351"/>
      <c r="T94" s="351"/>
      <c r="U94" s="351"/>
      <c r="V94" s="351"/>
      <c r="W94" s="351"/>
      <c r="X94" s="351"/>
      <c r="Y94" s="351"/>
      <c r="Z94" s="351"/>
      <c r="AA94" s="351"/>
      <c r="AB94" s="351"/>
      <c r="AC94" s="351"/>
      <c r="AD94" s="351"/>
      <c r="AE94" s="351"/>
      <c r="AF94" s="351"/>
      <c r="AG94" s="351"/>
      <c r="AH94" s="351"/>
      <c r="AI94" s="351"/>
      <c r="AJ94" s="351"/>
      <c r="AK94" s="352"/>
    </row>
  </sheetData>
  <mergeCells count="29">
    <mergeCell ref="A94:AK94"/>
    <mergeCell ref="A8:AK8"/>
    <mergeCell ref="A80:AK80"/>
    <mergeCell ref="A81:AK81"/>
    <mergeCell ref="C10:H10"/>
    <mergeCell ref="J10:N10"/>
    <mergeCell ref="Y10:AD10"/>
    <mergeCell ref="AF10:AK10"/>
    <mergeCell ref="P10:W10"/>
    <mergeCell ref="A82:AK82"/>
    <mergeCell ref="A83:AK83"/>
    <mergeCell ref="A87:AK87"/>
    <mergeCell ref="A84:AK84"/>
    <mergeCell ref="A86:AK86"/>
    <mergeCell ref="A85:AK85"/>
    <mergeCell ref="A90:AK90"/>
    <mergeCell ref="A3:AK3"/>
    <mergeCell ref="A4:AK4"/>
    <mergeCell ref="A5:AK5"/>
    <mergeCell ref="A6:AK6"/>
    <mergeCell ref="A7:AK7"/>
    <mergeCell ref="A76:AK76"/>
    <mergeCell ref="A77:AK77"/>
    <mergeCell ref="A78:AK78"/>
    <mergeCell ref="A92:AK92"/>
    <mergeCell ref="A93:AK93"/>
    <mergeCell ref="A88:AK88"/>
    <mergeCell ref="A89:AK89"/>
    <mergeCell ref="A91:AK91"/>
  </mergeCells>
  <pageMargins left="0.70866141732283472" right="0.70866141732283472" top="0.74803149606299213" bottom="0.74803149606299213" header="0.31496062992125984" footer="0.31496062992125984"/>
  <pageSetup paperSize="8" scale="65" fitToHeight="0" orientation="landscape" r:id="rId1"/>
  <rowBreaks count="1" manualBreakCount="1">
    <brk id="75" max="36"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K94"/>
  <sheetViews>
    <sheetView view="pageBreakPreview" topLeftCell="A67" zoomScale="98" zoomScaleNormal="100" zoomScaleSheetLayoutView="98" workbookViewId="0">
      <selection activeCell="A79" sqref="A79:AK79"/>
    </sheetView>
  </sheetViews>
  <sheetFormatPr defaultRowHeight="15" outlineLevelRow="1" x14ac:dyDescent="0.25"/>
  <cols>
    <col min="1" max="1" width="3" customWidth="1"/>
    <col min="2" max="2" width="7.5703125" customWidth="1"/>
    <col min="3" max="4" width="8.5703125" customWidth="1"/>
    <col min="5" max="8" width="8.140625" customWidth="1"/>
    <col min="9" max="9" width="2" customWidth="1"/>
    <col min="10" max="10" width="3.140625" customWidth="1"/>
    <col min="11" max="12" width="8.28515625" customWidth="1"/>
    <col min="13" max="13" width="8.85546875" customWidth="1"/>
    <col min="14" max="14" width="10.7109375" customWidth="1"/>
    <col min="15" max="15" width="1" customWidth="1"/>
    <col min="16" max="16" width="3" style="1" customWidth="1"/>
    <col min="17" max="17" width="9.42578125" style="1" customWidth="1"/>
    <col min="18" max="18" width="2.85546875" customWidth="1"/>
    <col min="19" max="19" width="9.140625" customWidth="1"/>
    <col min="20" max="20" width="5.28515625" customWidth="1"/>
    <col min="21" max="21" width="3.7109375" customWidth="1"/>
    <col min="22" max="22" width="26.42578125" customWidth="1"/>
    <col min="24" max="24" width="1" customWidth="1"/>
    <col min="25" max="25" width="2.85546875" customWidth="1"/>
    <col min="26" max="26" width="9.140625" customWidth="1"/>
    <col min="27" max="27" width="5.28515625" customWidth="1"/>
    <col min="28" max="28" width="3.7109375" customWidth="1"/>
    <col min="29" max="29" width="26.42578125" customWidth="1"/>
    <col min="30" max="30" width="9.42578125" customWidth="1"/>
    <col min="31" max="31" width="1" customWidth="1"/>
    <col min="32" max="32" width="2.85546875" customWidth="1"/>
    <col min="33" max="33" width="9.140625" customWidth="1"/>
    <col min="34" max="34" width="5.28515625" customWidth="1"/>
    <col min="35" max="35" width="3.7109375" customWidth="1"/>
    <col min="36" max="36" width="26.42578125" customWidth="1"/>
  </cols>
  <sheetData>
    <row r="1" spans="1:37" x14ac:dyDescent="0.25">
      <c r="A1" s="1" t="s">
        <v>129</v>
      </c>
      <c r="F1" s="22">
        <v>2.5000000000000001E-3</v>
      </c>
      <c r="AJ1" s="1" t="s">
        <v>235</v>
      </c>
    </row>
    <row r="2" spans="1:37" ht="7.5" customHeight="1" thickBot="1" x14ac:dyDescent="0.3"/>
    <row r="3" spans="1:37" ht="15.75" outlineLevel="1" x14ac:dyDescent="0.25">
      <c r="A3" s="340" t="s">
        <v>86</v>
      </c>
      <c r="B3" s="341"/>
      <c r="C3" s="341"/>
      <c r="D3" s="341"/>
      <c r="E3" s="341"/>
      <c r="F3" s="341"/>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2"/>
    </row>
    <row r="4" spans="1:37" outlineLevel="1" x14ac:dyDescent="0.25">
      <c r="A4" s="343" t="s">
        <v>311</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5"/>
    </row>
    <row r="5" spans="1:37" ht="2.25" customHeight="1" outlineLevel="1" x14ac:dyDescent="0.25">
      <c r="A5" s="343"/>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c r="AD5" s="344"/>
      <c r="AE5" s="344"/>
      <c r="AF5" s="344"/>
      <c r="AG5" s="344"/>
      <c r="AH5" s="344"/>
      <c r="AI5" s="344"/>
      <c r="AJ5" s="344"/>
      <c r="AK5" s="345"/>
    </row>
    <row r="6" spans="1:37" ht="15.75" outlineLevel="1" x14ac:dyDescent="0.25">
      <c r="A6" s="346" t="s">
        <v>88</v>
      </c>
      <c r="B6" s="347"/>
      <c r="C6" s="347"/>
      <c r="D6" s="347"/>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8"/>
    </row>
    <row r="7" spans="1:37" ht="29.25" customHeight="1" outlineLevel="1" x14ac:dyDescent="0.25">
      <c r="A7" s="349" t="s">
        <v>325</v>
      </c>
      <c r="B7" s="344"/>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5"/>
    </row>
    <row r="8" spans="1:37" ht="3" customHeight="1" outlineLevel="1" thickBot="1" x14ac:dyDescent="0.3">
      <c r="A8" s="353"/>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c r="AD8" s="354"/>
      <c r="AE8" s="354"/>
      <c r="AF8" s="354"/>
      <c r="AG8" s="354"/>
      <c r="AH8" s="354"/>
      <c r="AI8" s="354"/>
      <c r="AJ8" s="354"/>
      <c r="AK8" s="355"/>
    </row>
    <row r="9" spans="1:37" ht="9.75" customHeight="1" thickBot="1" x14ac:dyDescent="0.3">
      <c r="A9" s="20"/>
    </row>
    <row r="10" spans="1:37" ht="15.75" customHeight="1" thickBot="1" x14ac:dyDescent="0.3">
      <c r="A10" s="76"/>
      <c r="B10" s="77"/>
      <c r="C10" s="285" t="s">
        <v>86</v>
      </c>
      <c r="D10" s="285"/>
      <c r="E10" s="285"/>
      <c r="F10" s="285"/>
      <c r="G10" s="285"/>
      <c r="H10" s="286"/>
      <c r="J10" s="284" t="s">
        <v>103</v>
      </c>
      <c r="K10" s="285"/>
      <c r="L10" s="285"/>
      <c r="M10" s="285"/>
      <c r="N10" s="286"/>
      <c r="P10" s="302" t="s">
        <v>248</v>
      </c>
      <c r="Q10" s="303"/>
      <c r="R10" s="303"/>
      <c r="S10" s="303"/>
      <c r="T10" s="303"/>
      <c r="U10" s="303"/>
      <c r="V10" s="303"/>
      <c r="W10" s="304"/>
      <c r="X10" s="28"/>
      <c r="Y10" s="356" t="s">
        <v>249</v>
      </c>
      <c r="Z10" s="324"/>
      <c r="AA10" s="324"/>
      <c r="AB10" s="324"/>
      <c r="AC10" s="324"/>
      <c r="AD10" s="357"/>
      <c r="AE10" s="28"/>
      <c r="AF10" s="358" t="s">
        <v>250</v>
      </c>
      <c r="AG10" s="325"/>
      <c r="AH10" s="325"/>
      <c r="AI10" s="325"/>
      <c r="AJ10" s="325"/>
      <c r="AK10" s="326"/>
    </row>
    <row r="11" spans="1:37" s="1" customFormat="1" ht="45" customHeight="1" thickBot="1" x14ac:dyDescent="0.3">
      <c r="A11" s="24" t="s">
        <v>99</v>
      </c>
      <c r="B11" s="25" t="s">
        <v>98</v>
      </c>
      <c r="C11" s="26" t="s">
        <v>92</v>
      </c>
      <c r="D11" s="26" t="s">
        <v>93</v>
      </c>
      <c r="E11" s="26" t="s">
        <v>97</v>
      </c>
      <c r="F11" s="26" t="s">
        <v>96</v>
      </c>
      <c r="G11" s="26" t="s">
        <v>95</v>
      </c>
      <c r="H11" s="27" t="s">
        <v>104</v>
      </c>
      <c r="I11" s="83"/>
      <c r="J11" s="24"/>
      <c r="K11" s="26" t="s">
        <v>100</v>
      </c>
      <c r="L11" s="26" t="s">
        <v>101</v>
      </c>
      <c r="M11" s="26" t="s">
        <v>102</v>
      </c>
      <c r="N11" s="27" t="s">
        <v>104</v>
      </c>
      <c r="P11" s="60"/>
      <c r="Q11" s="61" t="s">
        <v>172</v>
      </c>
      <c r="R11" s="40"/>
      <c r="S11" s="61" t="s">
        <v>168</v>
      </c>
      <c r="T11" s="61" t="s">
        <v>169</v>
      </c>
      <c r="U11" s="61" t="s">
        <v>152</v>
      </c>
      <c r="V11" s="61" t="s">
        <v>170</v>
      </c>
      <c r="W11" s="85" t="s">
        <v>171</v>
      </c>
      <c r="X11" s="84"/>
      <c r="Y11" s="87"/>
      <c r="Z11" s="86" t="s">
        <v>168</v>
      </c>
      <c r="AA11" s="86" t="s">
        <v>169</v>
      </c>
      <c r="AB11" s="86" t="s">
        <v>152</v>
      </c>
      <c r="AC11" s="86" t="s">
        <v>170</v>
      </c>
      <c r="AD11" s="88" t="s">
        <v>171</v>
      </c>
      <c r="AE11" s="96"/>
      <c r="AF11" s="99"/>
      <c r="AG11" s="97" t="s">
        <v>168</v>
      </c>
      <c r="AH11" s="97" t="s">
        <v>169</v>
      </c>
      <c r="AI11" s="97" t="s">
        <v>152</v>
      </c>
      <c r="AJ11" s="97" t="s">
        <v>170</v>
      </c>
      <c r="AK11" s="98" t="s">
        <v>171</v>
      </c>
    </row>
    <row r="12" spans="1:37" x14ac:dyDescent="0.25">
      <c r="A12" s="28"/>
      <c r="B12" s="29"/>
      <c r="C12" s="29"/>
      <c r="D12" s="29"/>
      <c r="E12" s="29"/>
      <c r="F12" s="30">
        <f>+D74</f>
        <v>232464.53575425968</v>
      </c>
      <c r="G12" s="29"/>
      <c r="H12" s="34">
        <f>+D74</f>
        <v>232464.53575425968</v>
      </c>
      <c r="I12" s="29"/>
      <c r="J12" s="28"/>
      <c r="K12" s="31"/>
      <c r="L12" s="31"/>
      <c r="M12" s="31"/>
      <c r="N12" s="32"/>
      <c r="P12" s="124" t="s">
        <v>109</v>
      </c>
      <c r="Q12" s="126">
        <v>44013</v>
      </c>
      <c r="R12" s="51" t="s">
        <v>0</v>
      </c>
      <c r="S12" s="51">
        <v>5311002</v>
      </c>
      <c r="T12" s="51">
        <v>7321</v>
      </c>
      <c r="U12" s="51"/>
      <c r="V12" s="51" t="s">
        <v>146</v>
      </c>
      <c r="W12" s="69">
        <f>+F12</f>
        <v>232464.53575425968</v>
      </c>
      <c r="X12" s="28"/>
      <c r="Y12" s="89"/>
      <c r="Z12" s="54"/>
      <c r="AA12" s="54"/>
      <c r="AB12" s="54"/>
      <c r="AC12" s="54"/>
      <c r="AD12" s="90"/>
      <c r="AE12" s="28"/>
      <c r="AF12" s="100"/>
      <c r="AG12" s="55"/>
      <c r="AH12" s="55"/>
      <c r="AI12" s="55"/>
      <c r="AJ12" s="55"/>
      <c r="AK12" s="56"/>
    </row>
    <row r="13" spans="1:37" x14ac:dyDescent="0.25">
      <c r="A13" s="28">
        <v>0</v>
      </c>
      <c r="B13" s="33">
        <v>44013</v>
      </c>
      <c r="C13" s="31">
        <f t="shared" ref="C13:C66" si="0">50000/12</f>
        <v>4166.666666666667</v>
      </c>
      <c r="D13" s="31">
        <f>+C13/(1+F$1)^A13</f>
        <v>4166.666666666667</v>
      </c>
      <c r="E13" s="31">
        <f>+F$12/60</f>
        <v>3874.4089292376611</v>
      </c>
      <c r="F13" s="31">
        <f t="shared" ref="F13:F24" si="1">+F12-E13</f>
        <v>228590.12682502202</v>
      </c>
      <c r="G13" s="31">
        <f t="shared" ref="G13:G24" si="2">+(H12-C13)*F$1</f>
        <v>570.74467271898254</v>
      </c>
      <c r="H13" s="32">
        <f t="shared" ref="H13:H24" si="3">+H12-C13+G13</f>
        <v>228868.613760312</v>
      </c>
      <c r="I13" s="29"/>
      <c r="J13" s="28"/>
      <c r="K13" s="31"/>
      <c r="L13" s="31"/>
      <c r="M13" s="31"/>
      <c r="N13" s="32"/>
      <c r="P13" s="115"/>
      <c r="Q13" s="116"/>
      <c r="R13" s="40" t="s">
        <v>1</v>
      </c>
      <c r="S13" s="40">
        <v>3240102</v>
      </c>
      <c r="T13" s="40"/>
      <c r="U13" s="40"/>
      <c r="V13" s="40" t="s">
        <v>270</v>
      </c>
      <c r="W13" s="70">
        <f>H12</f>
        <v>232464.53575425968</v>
      </c>
      <c r="X13" s="28"/>
      <c r="Y13" s="87"/>
      <c r="Z13" s="42"/>
      <c r="AA13" s="42"/>
      <c r="AB13" s="42"/>
      <c r="AC13" s="42"/>
      <c r="AD13" s="91"/>
      <c r="AE13" s="28"/>
      <c r="AF13" s="101"/>
      <c r="AG13" s="43"/>
      <c r="AH13" s="43"/>
      <c r="AI13" s="43"/>
      <c r="AJ13" s="43"/>
      <c r="AK13" s="44"/>
    </row>
    <row r="14" spans="1:37" x14ac:dyDescent="0.25">
      <c r="A14" s="28">
        <v>1</v>
      </c>
      <c r="B14" s="33">
        <v>44044</v>
      </c>
      <c r="C14" s="31">
        <f t="shared" si="0"/>
        <v>4166.666666666667</v>
      </c>
      <c r="D14" s="31">
        <f t="shared" ref="D14:D73" si="4">+C14/(1+F$1)^A14</f>
        <v>4156.2759767248554</v>
      </c>
      <c r="E14" s="31">
        <f t="shared" ref="E14:E73" si="5">+F$12/60</f>
        <v>3874.4089292376611</v>
      </c>
      <c r="F14" s="31">
        <f t="shared" si="1"/>
        <v>224715.71789578436</v>
      </c>
      <c r="G14" s="31">
        <f t="shared" si="2"/>
        <v>561.75486773411342</v>
      </c>
      <c r="H14" s="32">
        <f t="shared" si="3"/>
        <v>225263.70196137947</v>
      </c>
      <c r="I14" s="29"/>
      <c r="J14" s="28"/>
      <c r="K14" s="31"/>
      <c r="L14" s="31"/>
      <c r="M14" s="31"/>
      <c r="N14" s="32"/>
      <c r="P14" s="133" t="s">
        <v>186</v>
      </c>
      <c r="Q14" s="116"/>
      <c r="R14" s="116"/>
      <c r="S14" s="40"/>
      <c r="T14" s="40"/>
      <c r="U14" s="40"/>
      <c r="V14" s="40"/>
      <c r="W14" s="81"/>
      <c r="X14" s="28"/>
      <c r="Y14" s="87"/>
      <c r="Z14" s="42"/>
      <c r="AA14" s="42"/>
      <c r="AB14" s="42"/>
      <c r="AC14" s="42"/>
      <c r="AD14" s="91"/>
      <c r="AE14" s="28"/>
      <c r="AF14" s="101"/>
      <c r="AG14" s="43"/>
      <c r="AH14" s="43"/>
      <c r="AI14" s="43"/>
      <c r="AJ14" s="43"/>
      <c r="AK14" s="44"/>
    </row>
    <row r="15" spans="1:37" x14ac:dyDescent="0.25">
      <c r="A15" s="28">
        <v>2</v>
      </c>
      <c r="B15" s="33">
        <v>44075</v>
      </c>
      <c r="C15" s="31">
        <f t="shared" si="0"/>
        <v>4166.666666666667</v>
      </c>
      <c r="D15" s="31">
        <f>+C15/(1+F$1)^A15</f>
        <v>4145.9111987280348</v>
      </c>
      <c r="E15" s="31">
        <f t="shared" si="5"/>
        <v>3874.4089292376611</v>
      </c>
      <c r="F15" s="31">
        <f t="shared" si="1"/>
        <v>220841.3089665467</v>
      </c>
      <c r="G15" s="31">
        <f t="shared" si="2"/>
        <v>552.74258823678201</v>
      </c>
      <c r="H15" s="32">
        <f t="shared" si="3"/>
        <v>221649.77788294959</v>
      </c>
      <c r="I15" s="29"/>
      <c r="J15" s="28"/>
      <c r="K15" s="31"/>
      <c r="L15" s="31"/>
      <c r="M15" s="31"/>
      <c r="N15" s="32"/>
      <c r="P15" s="115"/>
      <c r="Q15" s="116"/>
      <c r="R15" s="116"/>
      <c r="S15" s="40"/>
      <c r="T15" s="40"/>
      <c r="U15" s="40"/>
      <c r="V15" s="40"/>
      <c r="W15" s="81"/>
      <c r="X15" s="28"/>
      <c r="Y15" s="87"/>
      <c r="Z15" s="42"/>
      <c r="AA15" s="42"/>
      <c r="AB15" s="42"/>
      <c r="AC15" s="42"/>
      <c r="AD15" s="91"/>
      <c r="AE15" s="28"/>
      <c r="AF15" s="101"/>
      <c r="AG15" s="43"/>
      <c r="AH15" s="43"/>
      <c r="AI15" s="43"/>
      <c r="AJ15" s="43"/>
      <c r="AK15" s="44"/>
    </row>
    <row r="16" spans="1:37" x14ac:dyDescent="0.25">
      <c r="A16" s="28">
        <v>3</v>
      </c>
      <c r="B16" s="33">
        <v>44105</v>
      </c>
      <c r="C16" s="31">
        <f t="shared" si="0"/>
        <v>4166.666666666667</v>
      </c>
      <c r="D16" s="31">
        <f t="shared" si="4"/>
        <v>4135.5722680578911</v>
      </c>
      <c r="E16" s="31">
        <f t="shared" si="5"/>
        <v>3874.4089292376611</v>
      </c>
      <c r="F16" s="31">
        <f t="shared" si="1"/>
        <v>216966.90003730904</v>
      </c>
      <c r="G16" s="31">
        <f t="shared" si="2"/>
        <v>543.70777804070735</v>
      </c>
      <c r="H16" s="32">
        <f t="shared" si="3"/>
        <v>218026.81899432364</v>
      </c>
      <c r="I16" s="29"/>
      <c r="J16" s="28"/>
      <c r="K16" s="31"/>
      <c r="L16" s="31"/>
      <c r="M16" s="31"/>
      <c r="N16" s="32"/>
      <c r="P16" s="115" t="s">
        <v>110</v>
      </c>
      <c r="Q16" s="116" t="s">
        <v>106</v>
      </c>
      <c r="R16" s="116" t="s">
        <v>0</v>
      </c>
      <c r="S16" s="40">
        <v>2241002</v>
      </c>
      <c r="T16" s="40"/>
      <c r="U16" s="40"/>
      <c r="V16" s="40" t="s">
        <v>251</v>
      </c>
      <c r="W16" s="70">
        <f>SUM(E13:E24)</f>
        <v>46492.907150851919</v>
      </c>
      <c r="X16" s="28"/>
      <c r="Y16" s="87"/>
      <c r="Z16" s="42"/>
      <c r="AA16" s="42"/>
      <c r="AB16" s="42"/>
      <c r="AC16" s="42"/>
      <c r="AD16" s="91"/>
      <c r="AE16" s="28"/>
      <c r="AF16" s="101"/>
      <c r="AG16" s="43"/>
      <c r="AH16" s="43"/>
      <c r="AI16" s="43"/>
      <c r="AJ16" s="43"/>
      <c r="AK16" s="44"/>
    </row>
    <row r="17" spans="1:37" x14ac:dyDescent="0.25">
      <c r="A17" s="28">
        <v>4</v>
      </c>
      <c r="B17" s="33">
        <v>44136</v>
      </c>
      <c r="C17" s="31">
        <f t="shared" si="0"/>
        <v>4166.666666666667</v>
      </c>
      <c r="D17" s="31">
        <f t="shared" si="4"/>
        <v>4125.2591202572476</v>
      </c>
      <c r="E17" s="31">
        <f t="shared" si="5"/>
        <v>3874.4089292376611</v>
      </c>
      <c r="F17" s="31">
        <f t="shared" si="1"/>
        <v>213092.49110807138</v>
      </c>
      <c r="G17" s="31">
        <f t="shared" si="2"/>
        <v>534.65038081914247</v>
      </c>
      <c r="H17" s="32">
        <f t="shared" si="3"/>
        <v>214394.80270847611</v>
      </c>
      <c r="I17" s="29"/>
      <c r="J17" s="28"/>
      <c r="K17" s="31"/>
      <c r="L17" s="31"/>
      <c r="M17" s="31"/>
      <c r="N17" s="32"/>
      <c r="P17" s="115"/>
      <c r="Q17" s="116"/>
      <c r="R17" s="116" t="s">
        <v>1</v>
      </c>
      <c r="S17" s="40">
        <v>5311002</v>
      </c>
      <c r="T17" s="40">
        <v>7353</v>
      </c>
      <c r="U17" s="40"/>
      <c r="V17" s="40" t="s">
        <v>105</v>
      </c>
      <c r="W17" s="70">
        <f>W16</f>
        <v>46492.907150851919</v>
      </c>
      <c r="X17" s="28"/>
      <c r="Y17" s="87"/>
      <c r="Z17" s="42"/>
      <c r="AA17" s="42"/>
      <c r="AB17" s="42"/>
      <c r="AC17" s="42"/>
      <c r="AD17" s="91"/>
      <c r="AE17" s="28"/>
      <c r="AF17" s="101"/>
      <c r="AG17" s="43"/>
      <c r="AH17" s="43"/>
      <c r="AI17" s="43"/>
      <c r="AJ17" s="43"/>
      <c r="AK17" s="44"/>
    </row>
    <row r="18" spans="1:37" x14ac:dyDescent="0.25">
      <c r="A18" s="28">
        <v>5</v>
      </c>
      <c r="B18" s="33">
        <v>44166</v>
      </c>
      <c r="C18" s="31">
        <f t="shared" si="0"/>
        <v>4166.666666666667</v>
      </c>
      <c r="D18" s="31">
        <f t="shared" si="4"/>
        <v>4114.9716910296738</v>
      </c>
      <c r="E18" s="31">
        <f t="shared" si="5"/>
        <v>3874.4089292376611</v>
      </c>
      <c r="F18" s="31">
        <f t="shared" si="1"/>
        <v>209218.08217883372</v>
      </c>
      <c r="G18" s="31">
        <f t="shared" si="2"/>
        <v>525.57034010452367</v>
      </c>
      <c r="H18" s="32">
        <f t="shared" si="3"/>
        <v>210753.70638191397</v>
      </c>
      <c r="I18" s="29"/>
      <c r="J18" s="28"/>
      <c r="K18" s="31"/>
      <c r="L18" s="31"/>
      <c r="M18" s="31"/>
      <c r="N18" s="32"/>
      <c r="P18" s="133" t="s">
        <v>188</v>
      </c>
      <c r="Q18" s="116"/>
      <c r="R18" s="116"/>
      <c r="S18" s="40"/>
      <c r="T18" s="40"/>
      <c r="U18" s="40"/>
      <c r="V18" s="40"/>
      <c r="W18" s="81"/>
      <c r="X18" s="28"/>
      <c r="Y18" s="87"/>
      <c r="Z18" s="42"/>
      <c r="AA18" s="42"/>
      <c r="AB18" s="42"/>
      <c r="AC18" s="42"/>
      <c r="AD18" s="91"/>
      <c r="AE18" s="28"/>
      <c r="AF18" s="101"/>
      <c r="AG18" s="43"/>
      <c r="AH18" s="43"/>
      <c r="AI18" s="43"/>
      <c r="AJ18" s="43"/>
      <c r="AK18" s="44"/>
    </row>
    <row r="19" spans="1:37" x14ac:dyDescent="0.25">
      <c r="A19" s="28">
        <v>6</v>
      </c>
      <c r="B19" s="33">
        <v>44197</v>
      </c>
      <c r="C19" s="31">
        <f t="shared" si="0"/>
        <v>4166.666666666667</v>
      </c>
      <c r="D19" s="31">
        <f t="shared" si="4"/>
        <v>4104.7099162390768</v>
      </c>
      <c r="E19" s="31">
        <f t="shared" si="5"/>
        <v>3874.4089292376611</v>
      </c>
      <c r="F19" s="31">
        <f t="shared" si="1"/>
        <v>205343.67324959606</v>
      </c>
      <c r="G19" s="31">
        <f t="shared" si="2"/>
        <v>516.46759928811832</v>
      </c>
      <c r="H19" s="32">
        <f t="shared" si="3"/>
        <v>207103.50731453544</v>
      </c>
      <c r="I19" s="29"/>
      <c r="J19" s="28"/>
      <c r="K19" s="31"/>
      <c r="L19" s="31"/>
      <c r="M19" s="31"/>
      <c r="N19" s="32"/>
      <c r="P19" s="115"/>
      <c r="Q19" s="116"/>
      <c r="R19" s="116"/>
      <c r="S19" s="40"/>
      <c r="T19" s="40"/>
      <c r="U19" s="40"/>
      <c r="V19" s="40"/>
      <c r="W19" s="81"/>
      <c r="X19" s="28"/>
      <c r="Y19" s="87"/>
      <c r="Z19" s="42"/>
      <c r="AA19" s="42"/>
      <c r="AB19" s="42"/>
      <c r="AC19" s="42"/>
      <c r="AD19" s="91"/>
      <c r="AE19" s="28"/>
      <c r="AF19" s="101"/>
      <c r="AG19" s="43"/>
      <c r="AH19" s="43"/>
      <c r="AI19" s="43"/>
      <c r="AJ19" s="43"/>
      <c r="AK19" s="44"/>
    </row>
    <row r="20" spans="1:37" x14ac:dyDescent="0.25">
      <c r="A20" s="28">
        <v>7</v>
      </c>
      <c r="B20" s="33">
        <v>44228</v>
      </c>
      <c r="C20" s="31">
        <f t="shared" si="0"/>
        <v>4166.666666666667</v>
      </c>
      <c r="D20" s="31">
        <f t="shared" si="4"/>
        <v>4094.4737319093038</v>
      </c>
      <c r="E20" s="31">
        <f t="shared" si="5"/>
        <v>3874.4089292376611</v>
      </c>
      <c r="F20" s="31">
        <f t="shared" si="1"/>
        <v>201469.2643203584</v>
      </c>
      <c r="G20" s="31">
        <f t="shared" si="2"/>
        <v>507.34210161967195</v>
      </c>
      <c r="H20" s="32">
        <f t="shared" si="3"/>
        <v>203444.18274948845</v>
      </c>
      <c r="I20" s="29"/>
      <c r="J20" s="28"/>
      <c r="K20" s="31"/>
      <c r="L20" s="31"/>
      <c r="M20" s="31"/>
      <c r="N20" s="32"/>
      <c r="P20" s="115" t="s">
        <v>111</v>
      </c>
      <c r="Q20" s="116" t="s">
        <v>106</v>
      </c>
      <c r="R20" s="116" t="s">
        <v>0</v>
      </c>
      <c r="S20" s="40">
        <v>3240106</v>
      </c>
      <c r="T20" s="40"/>
      <c r="U20" s="40"/>
      <c r="V20" s="40" t="s">
        <v>271</v>
      </c>
      <c r="W20" s="70">
        <f>W22-W21</f>
        <v>43749.363372898428</v>
      </c>
      <c r="X20" s="28"/>
      <c r="Y20" s="87"/>
      <c r="Z20" s="42"/>
      <c r="AA20" s="42"/>
      <c r="AB20" s="42"/>
      <c r="AC20" s="42"/>
      <c r="AD20" s="91"/>
      <c r="AE20" s="28"/>
      <c r="AF20" s="101"/>
      <c r="AG20" s="43"/>
      <c r="AH20" s="43"/>
      <c r="AI20" s="43"/>
      <c r="AJ20" s="43"/>
      <c r="AK20" s="44"/>
    </row>
    <row r="21" spans="1:37" x14ac:dyDescent="0.25">
      <c r="A21" s="28">
        <v>8</v>
      </c>
      <c r="B21" s="33">
        <v>44256</v>
      </c>
      <c r="C21" s="31">
        <f t="shared" si="0"/>
        <v>4166.666666666667</v>
      </c>
      <c r="D21" s="31">
        <f t="shared" si="4"/>
        <v>4084.2630742237438</v>
      </c>
      <c r="E21" s="31">
        <f t="shared" si="5"/>
        <v>3874.4089292376611</v>
      </c>
      <c r="F21" s="31">
        <f t="shared" si="1"/>
        <v>197594.85539112074</v>
      </c>
      <c r="G21" s="31">
        <f t="shared" si="2"/>
        <v>498.19379020705452</v>
      </c>
      <c r="H21" s="32">
        <f t="shared" si="3"/>
        <v>199775.70987302886</v>
      </c>
      <c r="I21" s="29"/>
      <c r="J21" s="28"/>
      <c r="K21" s="31"/>
      <c r="L21" s="31"/>
      <c r="M21" s="31"/>
      <c r="N21" s="32"/>
      <c r="P21" s="115"/>
      <c r="Q21" s="116"/>
      <c r="R21" s="116" t="s">
        <v>0</v>
      </c>
      <c r="S21" s="40">
        <v>2422020</v>
      </c>
      <c r="T21" s="40"/>
      <c r="U21" s="40"/>
      <c r="V21" s="40" t="s">
        <v>161</v>
      </c>
      <c r="W21" s="70">
        <f>SUM(G13:G24)</f>
        <v>6250.6366271015659</v>
      </c>
      <c r="X21" s="28"/>
      <c r="Y21" s="87"/>
      <c r="Z21" s="42"/>
      <c r="AA21" s="42"/>
      <c r="AB21" s="42"/>
      <c r="AC21" s="42"/>
      <c r="AD21" s="91"/>
      <c r="AE21" s="28"/>
      <c r="AF21" s="101"/>
      <c r="AG21" s="43"/>
      <c r="AH21" s="43"/>
      <c r="AI21" s="43"/>
      <c r="AJ21" s="43"/>
      <c r="AK21" s="44"/>
    </row>
    <row r="22" spans="1:37" x14ac:dyDescent="0.25">
      <c r="A22" s="28">
        <v>9</v>
      </c>
      <c r="B22" s="33">
        <v>44287</v>
      </c>
      <c r="C22" s="31">
        <f t="shared" si="0"/>
        <v>4166.666666666667</v>
      </c>
      <c r="D22" s="31">
        <f t="shared" si="4"/>
        <v>4074.0778795249316</v>
      </c>
      <c r="E22" s="31">
        <f t="shared" si="5"/>
        <v>3874.4089292376611</v>
      </c>
      <c r="F22" s="31">
        <f t="shared" si="1"/>
        <v>193720.44646188308</v>
      </c>
      <c r="G22" s="31">
        <f t="shared" si="2"/>
        <v>489.02260801590552</v>
      </c>
      <c r="H22" s="32">
        <f t="shared" si="3"/>
        <v>196098.06581437812</v>
      </c>
      <c r="I22" s="29"/>
      <c r="J22" s="28"/>
      <c r="K22" s="31"/>
      <c r="L22" s="31"/>
      <c r="M22" s="31"/>
      <c r="N22" s="32"/>
      <c r="P22" s="115"/>
      <c r="Q22" s="116"/>
      <c r="R22" s="116" t="s">
        <v>1</v>
      </c>
      <c r="S22" s="40"/>
      <c r="T22" s="40"/>
      <c r="U22" s="40"/>
      <c r="V22" s="40" t="s">
        <v>31</v>
      </c>
      <c r="W22" s="70">
        <f>SUM(C13:C24)</f>
        <v>49999.999999999993</v>
      </c>
      <c r="X22" s="28"/>
      <c r="Y22" s="87"/>
      <c r="Z22" s="42"/>
      <c r="AA22" s="42"/>
      <c r="AB22" s="42"/>
      <c r="AC22" s="42"/>
      <c r="AD22" s="91"/>
      <c r="AE22" s="28"/>
      <c r="AF22" s="101"/>
      <c r="AG22" s="43"/>
      <c r="AH22" s="43"/>
      <c r="AI22" s="43"/>
      <c r="AJ22" s="43"/>
      <c r="AK22" s="44"/>
    </row>
    <row r="23" spans="1:37" x14ac:dyDescent="0.25">
      <c r="A23" s="28">
        <v>10</v>
      </c>
      <c r="B23" s="33">
        <v>44317</v>
      </c>
      <c r="C23" s="31">
        <f t="shared" si="0"/>
        <v>4166.666666666667</v>
      </c>
      <c r="D23" s="31">
        <f t="shared" si="4"/>
        <v>4063.9180843141467</v>
      </c>
      <c r="E23" s="31">
        <f t="shared" si="5"/>
        <v>3874.4089292376611</v>
      </c>
      <c r="F23" s="31">
        <f t="shared" si="1"/>
        <v>189846.03753264542</v>
      </c>
      <c r="G23" s="31">
        <f t="shared" si="2"/>
        <v>479.82849786927864</v>
      </c>
      <c r="H23" s="32">
        <f t="shared" si="3"/>
        <v>192411.22764558074</v>
      </c>
      <c r="I23" s="29"/>
      <c r="J23" s="28"/>
      <c r="K23" s="31"/>
      <c r="L23" s="31"/>
      <c r="M23" s="31"/>
      <c r="N23" s="32"/>
      <c r="P23" s="133" t="s">
        <v>132</v>
      </c>
      <c r="Q23" s="116"/>
      <c r="R23" s="116"/>
      <c r="S23" s="40"/>
      <c r="T23" s="40"/>
      <c r="U23" s="40"/>
      <c r="V23" s="40"/>
      <c r="W23" s="81"/>
      <c r="X23" s="28"/>
      <c r="Y23" s="87"/>
      <c r="Z23" s="42"/>
      <c r="AA23" s="42"/>
      <c r="AB23" s="42"/>
      <c r="AC23" s="42"/>
      <c r="AD23" s="91"/>
      <c r="AE23" s="28"/>
      <c r="AF23" s="101"/>
      <c r="AG23" s="43"/>
      <c r="AH23" s="43"/>
      <c r="AI23" s="43"/>
      <c r="AJ23" s="43"/>
      <c r="AK23" s="44"/>
    </row>
    <row r="24" spans="1:37" x14ac:dyDescent="0.25">
      <c r="A24" s="28">
        <v>11</v>
      </c>
      <c r="B24" s="33">
        <v>44348</v>
      </c>
      <c r="C24" s="31">
        <f t="shared" si="0"/>
        <v>4166.666666666667</v>
      </c>
      <c r="D24" s="31">
        <f t="shared" si="4"/>
        <v>4053.7836252510201</v>
      </c>
      <c r="E24" s="31">
        <f t="shared" si="5"/>
        <v>3874.4089292376611</v>
      </c>
      <c r="F24" s="30">
        <f t="shared" si="1"/>
        <v>185971.62860340776</v>
      </c>
      <c r="G24" s="31">
        <f t="shared" si="2"/>
        <v>470.61140244728523</v>
      </c>
      <c r="H24" s="32">
        <f t="shared" si="3"/>
        <v>188715.17238136136</v>
      </c>
      <c r="I24" s="29"/>
      <c r="J24" s="28"/>
      <c r="K24" s="31"/>
      <c r="L24" s="31"/>
      <c r="M24" s="31"/>
      <c r="N24" s="32"/>
      <c r="P24" s="115"/>
      <c r="Q24" s="116"/>
      <c r="R24" s="116"/>
      <c r="S24" s="40"/>
      <c r="T24" s="40"/>
      <c r="U24" s="40"/>
      <c r="V24" s="40"/>
      <c r="W24" s="81"/>
      <c r="X24" s="28"/>
      <c r="Y24" s="87"/>
      <c r="Z24" s="42"/>
      <c r="AA24" s="42"/>
      <c r="AB24" s="42"/>
      <c r="AC24" s="42"/>
      <c r="AD24" s="91"/>
      <c r="AE24" s="28"/>
      <c r="AF24" s="101"/>
      <c r="AG24" s="43"/>
      <c r="AH24" s="43"/>
      <c r="AI24" s="43"/>
      <c r="AJ24" s="43"/>
      <c r="AK24" s="44"/>
    </row>
    <row r="25" spans="1:37" ht="15.75" thickBot="1" x14ac:dyDescent="0.3">
      <c r="A25" s="28"/>
      <c r="B25" s="33"/>
      <c r="C25" s="31"/>
      <c r="D25" s="31"/>
      <c r="E25" s="31"/>
      <c r="F25" s="31"/>
      <c r="G25" s="31"/>
      <c r="H25" s="32"/>
      <c r="I25" s="29"/>
      <c r="J25" s="28"/>
      <c r="K25" s="31"/>
      <c r="L25" s="31"/>
      <c r="M25" s="31"/>
      <c r="N25" s="34">
        <f>+L$62</f>
        <v>43090.539077135763</v>
      </c>
      <c r="P25" s="115"/>
      <c r="Q25" s="116"/>
      <c r="R25" s="116"/>
      <c r="S25" s="40"/>
      <c r="T25" s="40"/>
      <c r="U25" s="40"/>
      <c r="V25" s="40"/>
      <c r="W25" s="81"/>
      <c r="X25" s="28"/>
      <c r="Y25" s="87"/>
      <c r="Z25" s="42"/>
      <c r="AA25" s="42"/>
      <c r="AB25" s="42"/>
      <c r="AC25" s="42"/>
      <c r="AD25" s="91"/>
      <c r="AE25" s="28"/>
      <c r="AF25" s="101"/>
      <c r="AG25" s="43"/>
      <c r="AH25" s="43"/>
      <c r="AI25" s="43"/>
      <c r="AJ25" s="43"/>
      <c r="AK25" s="44"/>
    </row>
    <row r="26" spans="1:37" x14ac:dyDescent="0.25">
      <c r="A26" s="28">
        <v>12</v>
      </c>
      <c r="B26" s="33">
        <v>44378</v>
      </c>
      <c r="C26" s="31">
        <f t="shared" si="0"/>
        <v>4166.666666666667</v>
      </c>
      <c r="D26" s="31">
        <f t="shared" si="4"/>
        <v>4043.6744391531365</v>
      </c>
      <c r="E26" s="31">
        <f t="shared" si="5"/>
        <v>3874.4089292376611</v>
      </c>
      <c r="F26" s="31">
        <f>+F24-E26</f>
        <v>182097.2196741701</v>
      </c>
      <c r="G26" s="31">
        <f>+(H24-C26)*F$1</f>
        <v>461.37126428673679</v>
      </c>
      <c r="H26" s="32">
        <f>+H24-C26+G26</f>
        <v>185009.87697898145</v>
      </c>
      <c r="I26" s="29"/>
      <c r="J26" s="28">
        <v>0</v>
      </c>
      <c r="K26" s="31">
        <f>15000/12</f>
        <v>1250</v>
      </c>
      <c r="L26" s="31">
        <f>+K26/(1+F$1)^J26</f>
        <v>1250</v>
      </c>
      <c r="M26" s="31">
        <f t="shared" ref="M26:M61" si="6">+(N25-K26)*F$1</f>
        <v>104.60134769283941</v>
      </c>
      <c r="N26" s="32">
        <f>+N25-K26+M26</f>
        <v>41945.140424828605</v>
      </c>
      <c r="P26" s="124" t="s">
        <v>112</v>
      </c>
      <c r="Q26" s="125" t="s">
        <v>107</v>
      </c>
      <c r="R26" s="125" t="s">
        <v>0</v>
      </c>
      <c r="S26" s="51">
        <v>2241002</v>
      </c>
      <c r="T26" s="51"/>
      <c r="U26" s="51"/>
      <c r="V26" s="51" t="s">
        <v>251</v>
      </c>
      <c r="W26" s="69">
        <f>SUM(E26:E37)</f>
        <v>46492.907150851919</v>
      </c>
      <c r="X26" s="28"/>
      <c r="Y26" s="89" t="s">
        <v>0</v>
      </c>
      <c r="Z26" s="54"/>
      <c r="AA26" s="54"/>
      <c r="AB26" s="54"/>
      <c r="AC26" s="54" t="s">
        <v>31</v>
      </c>
      <c r="AD26" s="94">
        <f>SUM(K26:K37)</f>
        <v>15000</v>
      </c>
      <c r="AE26" s="28"/>
      <c r="AF26" s="100" t="s">
        <v>0</v>
      </c>
      <c r="AG26" s="55">
        <v>5311002</v>
      </c>
      <c r="AH26" s="55">
        <v>7321</v>
      </c>
      <c r="AI26" s="55" t="s">
        <v>152</v>
      </c>
      <c r="AJ26" s="55" t="s">
        <v>146</v>
      </c>
      <c r="AK26" s="58">
        <f>+N25</f>
        <v>43090.539077135763</v>
      </c>
    </row>
    <row r="27" spans="1:37" x14ac:dyDescent="0.25">
      <c r="A27" s="28">
        <v>13</v>
      </c>
      <c r="B27" s="33">
        <v>44409</v>
      </c>
      <c r="C27" s="31">
        <f t="shared" si="0"/>
        <v>4166.666666666667</v>
      </c>
      <c r="D27" s="31">
        <f t="shared" si="4"/>
        <v>4033.5904629956472</v>
      </c>
      <c r="E27" s="31">
        <f t="shared" si="5"/>
        <v>3874.4089292376611</v>
      </c>
      <c r="F27" s="31">
        <f t="shared" ref="F27:F65" si="7">+F26-E27</f>
        <v>178222.81074493245</v>
      </c>
      <c r="G27" s="31">
        <f t="shared" ref="G27:G73" si="8">+(H26-C27)*F$1</f>
        <v>452.10802578078699</v>
      </c>
      <c r="H27" s="32">
        <f t="shared" ref="H27:H65" si="9">+H26-C27+G27</f>
        <v>181295.31833809559</v>
      </c>
      <c r="I27" s="29"/>
      <c r="J27" s="28">
        <v>1</v>
      </c>
      <c r="K27" s="31">
        <f t="shared" ref="K27:K61" si="10">15000/12</f>
        <v>1250</v>
      </c>
      <c r="L27" s="31">
        <f t="shared" ref="L27:L60" si="11">+K27/(1+F$1)^J27</f>
        <v>1246.8827930174564</v>
      </c>
      <c r="M27" s="31">
        <f t="shared" si="6"/>
        <v>101.73785106207151</v>
      </c>
      <c r="N27" s="32">
        <f t="shared" ref="N27:N61" si="12">+N26-K27+M27</f>
        <v>40796.878275890675</v>
      </c>
      <c r="P27" s="115"/>
      <c r="Q27" s="116"/>
      <c r="R27" s="116" t="s">
        <v>1</v>
      </c>
      <c r="S27" s="40">
        <v>5311002</v>
      </c>
      <c r="T27" s="40">
        <v>7353</v>
      </c>
      <c r="U27" s="40"/>
      <c r="V27" s="40" t="s">
        <v>105</v>
      </c>
      <c r="W27" s="70">
        <f>W26</f>
        <v>46492.907150851919</v>
      </c>
      <c r="X27" s="28"/>
      <c r="Y27" s="87" t="s">
        <v>1</v>
      </c>
      <c r="Z27" s="42">
        <v>1220014</v>
      </c>
      <c r="AA27" s="42"/>
      <c r="AB27" s="42" t="s">
        <v>152</v>
      </c>
      <c r="AC27" s="42" t="s">
        <v>195</v>
      </c>
      <c r="AD27" s="95">
        <f>AD26</f>
        <v>15000</v>
      </c>
      <c r="AE27" s="28"/>
      <c r="AF27" s="101" t="s">
        <v>1</v>
      </c>
      <c r="AG27" s="43">
        <v>3240102</v>
      </c>
      <c r="AH27" s="43"/>
      <c r="AI27" s="43" t="s">
        <v>152</v>
      </c>
      <c r="AJ27" s="43" t="s">
        <v>270</v>
      </c>
      <c r="AK27" s="45">
        <f>N25</f>
        <v>43090.539077135763</v>
      </c>
    </row>
    <row r="28" spans="1:37" x14ac:dyDescent="0.25">
      <c r="A28" s="28">
        <v>14</v>
      </c>
      <c r="B28" s="33">
        <v>44440</v>
      </c>
      <c r="C28" s="31">
        <f t="shared" si="0"/>
        <v>4166.666666666667</v>
      </c>
      <c r="D28" s="31">
        <f t="shared" si="4"/>
        <v>4023.5316339108713</v>
      </c>
      <c r="E28" s="31">
        <f t="shared" si="5"/>
        <v>3874.4089292376611</v>
      </c>
      <c r="F28" s="31">
        <f t="shared" si="7"/>
        <v>174348.40181569479</v>
      </c>
      <c r="G28" s="31">
        <f t="shared" si="8"/>
        <v>442.82162917857232</v>
      </c>
      <c r="H28" s="32">
        <f t="shared" si="9"/>
        <v>177571.4733006075</v>
      </c>
      <c r="I28" s="29"/>
      <c r="J28" s="28">
        <v>2</v>
      </c>
      <c r="K28" s="31">
        <f t="shared" si="10"/>
        <v>1250</v>
      </c>
      <c r="L28" s="31">
        <f t="shared" si="11"/>
        <v>1243.7733596184105</v>
      </c>
      <c r="M28" s="31">
        <f t="shared" si="6"/>
        <v>98.867195689726685</v>
      </c>
      <c r="N28" s="32">
        <f t="shared" si="12"/>
        <v>39645.745471580398</v>
      </c>
      <c r="P28" s="133" t="s">
        <v>193</v>
      </c>
      <c r="Q28" s="116"/>
      <c r="R28" s="116"/>
      <c r="S28" s="40"/>
      <c r="T28" s="40"/>
      <c r="U28" s="40"/>
      <c r="V28" s="40"/>
      <c r="W28" s="81"/>
      <c r="X28" s="28"/>
      <c r="Y28" s="87" t="s">
        <v>312</v>
      </c>
      <c r="Z28" s="42"/>
      <c r="AA28" s="42"/>
      <c r="AB28" s="42"/>
      <c r="AC28" s="42"/>
      <c r="AD28" s="95"/>
      <c r="AE28" s="28"/>
      <c r="AF28" s="101" t="s">
        <v>135</v>
      </c>
      <c r="AG28" s="43"/>
      <c r="AH28" s="43"/>
      <c r="AI28" s="43"/>
      <c r="AJ28" s="43"/>
      <c r="AK28" s="44"/>
    </row>
    <row r="29" spans="1:37" x14ac:dyDescent="0.25">
      <c r="A29" s="28">
        <v>15</v>
      </c>
      <c r="B29" s="33">
        <v>44470</v>
      </c>
      <c r="C29" s="31">
        <f t="shared" si="0"/>
        <v>4166.666666666667</v>
      </c>
      <c r="D29" s="31">
        <f t="shared" si="4"/>
        <v>4013.4978891879018</v>
      </c>
      <c r="E29" s="31">
        <f t="shared" si="5"/>
        <v>3874.4089292376611</v>
      </c>
      <c r="F29" s="31">
        <f t="shared" si="7"/>
        <v>170473.99288645713</v>
      </c>
      <c r="G29" s="31">
        <f t="shared" si="8"/>
        <v>433.51201658485212</v>
      </c>
      <c r="H29" s="32">
        <f t="shared" si="9"/>
        <v>173838.3186505257</v>
      </c>
      <c r="I29" s="29"/>
      <c r="J29" s="28">
        <v>3</v>
      </c>
      <c r="K29" s="31">
        <f t="shared" si="10"/>
        <v>1250</v>
      </c>
      <c r="L29" s="31">
        <f t="shared" si="11"/>
        <v>1240.6716804173673</v>
      </c>
      <c r="M29" s="31">
        <f t="shared" si="6"/>
        <v>95.989363678950994</v>
      </c>
      <c r="N29" s="32">
        <f t="shared" si="12"/>
        <v>38491.734835259347</v>
      </c>
      <c r="P29" s="115"/>
      <c r="Q29" s="116"/>
      <c r="R29" s="116"/>
      <c r="S29" s="40"/>
      <c r="T29" s="40"/>
      <c r="U29" s="40"/>
      <c r="V29" s="40"/>
      <c r="W29" s="81"/>
      <c r="X29" s="28"/>
      <c r="Y29" s="87" t="s">
        <v>313</v>
      </c>
      <c r="Z29" s="42"/>
      <c r="AA29" s="42"/>
      <c r="AB29" s="42"/>
      <c r="AC29" s="42"/>
      <c r="AD29" s="91"/>
      <c r="AE29" s="28"/>
      <c r="AF29" s="101"/>
      <c r="AG29" s="43"/>
      <c r="AH29" s="43"/>
      <c r="AI29" s="43"/>
      <c r="AJ29" s="43"/>
      <c r="AK29" s="44"/>
    </row>
    <row r="30" spans="1:37" x14ac:dyDescent="0.25">
      <c r="A30" s="28">
        <v>16</v>
      </c>
      <c r="B30" s="33">
        <v>44501</v>
      </c>
      <c r="C30" s="31">
        <f t="shared" si="0"/>
        <v>4166.666666666667</v>
      </c>
      <c r="D30" s="31">
        <f t="shared" si="4"/>
        <v>4003.4891662722207</v>
      </c>
      <c r="E30" s="31">
        <f t="shared" si="5"/>
        <v>3874.4089292376611</v>
      </c>
      <c r="F30" s="31">
        <f t="shared" si="7"/>
        <v>166599.58395721947</v>
      </c>
      <c r="G30" s="31">
        <f t="shared" si="8"/>
        <v>424.17912995964764</v>
      </c>
      <c r="H30" s="32">
        <f t="shared" si="9"/>
        <v>170095.83111381868</v>
      </c>
      <c r="I30" s="29"/>
      <c r="J30" s="28">
        <v>4</v>
      </c>
      <c r="K30" s="31">
        <f t="shared" si="10"/>
        <v>1250</v>
      </c>
      <c r="L30" s="31">
        <f t="shared" si="11"/>
        <v>1237.5777360771742</v>
      </c>
      <c r="M30" s="31">
        <f t="shared" si="6"/>
        <v>93.10433708814837</v>
      </c>
      <c r="N30" s="32">
        <f t="shared" si="12"/>
        <v>37334.839172347492</v>
      </c>
      <c r="P30" s="134" t="s">
        <v>113</v>
      </c>
      <c r="Q30" s="116" t="s">
        <v>107</v>
      </c>
      <c r="R30" s="116" t="s">
        <v>0</v>
      </c>
      <c r="S30" s="40">
        <v>3240106</v>
      </c>
      <c r="T30" s="40"/>
      <c r="U30" s="40"/>
      <c r="V30" s="40" t="s">
        <v>271</v>
      </c>
      <c r="W30" s="70">
        <f>W32-W31</f>
        <v>45080.042124241874</v>
      </c>
      <c r="X30" s="28"/>
      <c r="Y30" s="87"/>
      <c r="Z30" s="42"/>
      <c r="AA30" s="42"/>
      <c r="AB30" s="42"/>
      <c r="AC30" s="42"/>
      <c r="AD30" s="91"/>
      <c r="AE30" s="28"/>
      <c r="AF30" s="101" t="s">
        <v>0</v>
      </c>
      <c r="AG30" s="43">
        <v>2241002</v>
      </c>
      <c r="AH30" s="43"/>
      <c r="AI30" s="43"/>
      <c r="AJ30" s="43" t="s">
        <v>251</v>
      </c>
      <c r="AK30" s="45">
        <f>+N$25/3</f>
        <v>14363.513025711922</v>
      </c>
    </row>
    <row r="31" spans="1:37" x14ac:dyDescent="0.25">
      <c r="A31" s="28">
        <v>17</v>
      </c>
      <c r="B31" s="33">
        <v>44531</v>
      </c>
      <c r="C31" s="31">
        <f t="shared" si="0"/>
        <v>4166.666666666667</v>
      </c>
      <c r="D31" s="31">
        <f t="shared" si="4"/>
        <v>3993.5054027653077</v>
      </c>
      <c r="E31" s="31">
        <f t="shared" si="5"/>
        <v>3874.4089292376611</v>
      </c>
      <c r="F31" s="31">
        <f t="shared" si="7"/>
        <v>162725.17502798181</v>
      </c>
      <c r="G31" s="31">
        <f t="shared" si="8"/>
        <v>414.8229111178801</v>
      </c>
      <c r="H31" s="32">
        <f t="shared" si="9"/>
        <v>166343.98735826989</v>
      </c>
      <c r="I31" s="29"/>
      <c r="J31" s="28">
        <v>5</v>
      </c>
      <c r="K31" s="31">
        <f t="shared" si="10"/>
        <v>1250</v>
      </c>
      <c r="L31" s="31">
        <f t="shared" si="11"/>
        <v>1234.4915073089019</v>
      </c>
      <c r="M31" s="31">
        <f t="shared" si="6"/>
        <v>90.212097930868737</v>
      </c>
      <c r="N31" s="32">
        <f t="shared" si="12"/>
        <v>36175.05127027836</v>
      </c>
      <c r="P31" s="115"/>
      <c r="Q31" s="116"/>
      <c r="R31" s="116" t="s">
        <v>0</v>
      </c>
      <c r="S31" s="40">
        <v>2422020</v>
      </c>
      <c r="T31" s="40"/>
      <c r="U31" s="40"/>
      <c r="V31" s="40" t="s">
        <v>161</v>
      </c>
      <c r="W31" s="70">
        <f>SUM(G26:G37)</f>
        <v>4919.9578757581157</v>
      </c>
      <c r="X31" s="28"/>
      <c r="Y31" s="87"/>
      <c r="Z31" s="42"/>
      <c r="AA31" s="42"/>
      <c r="AB31" s="42"/>
      <c r="AC31" s="42"/>
      <c r="AD31" s="91"/>
      <c r="AE31" s="28"/>
      <c r="AF31" s="101" t="s">
        <v>1</v>
      </c>
      <c r="AG31" s="43">
        <v>5311002</v>
      </c>
      <c r="AH31" s="43">
        <v>7353</v>
      </c>
      <c r="AI31" s="43" t="s">
        <v>151</v>
      </c>
      <c r="AJ31" s="43" t="s">
        <v>105</v>
      </c>
      <c r="AK31" s="45">
        <f>AK30</f>
        <v>14363.513025711922</v>
      </c>
    </row>
    <row r="32" spans="1:37" x14ac:dyDescent="0.25">
      <c r="A32" s="28">
        <v>18</v>
      </c>
      <c r="B32" s="33">
        <v>44562</v>
      </c>
      <c r="C32" s="31">
        <f t="shared" si="0"/>
        <v>4166.666666666667</v>
      </c>
      <c r="D32" s="31">
        <f t="shared" si="4"/>
        <v>3983.5465364242468</v>
      </c>
      <c r="E32" s="31">
        <f t="shared" si="5"/>
        <v>3874.4089292376611</v>
      </c>
      <c r="F32" s="31">
        <f t="shared" si="7"/>
        <v>158850.76609874415</v>
      </c>
      <c r="G32" s="31">
        <f t="shared" si="8"/>
        <v>405.44330172900811</v>
      </c>
      <c r="H32" s="32">
        <f t="shared" si="9"/>
        <v>162582.76399333225</v>
      </c>
      <c r="I32" s="29"/>
      <c r="J32" s="28">
        <v>6</v>
      </c>
      <c r="K32" s="31">
        <f t="shared" si="10"/>
        <v>1250</v>
      </c>
      <c r="L32" s="31">
        <f t="shared" si="11"/>
        <v>1231.412974871723</v>
      </c>
      <c r="M32" s="31">
        <f t="shared" si="6"/>
        <v>87.312628175695906</v>
      </c>
      <c r="N32" s="32">
        <f t="shared" si="12"/>
        <v>35012.363898454059</v>
      </c>
      <c r="P32" s="115"/>
      <c r="Q32" s="116"/>
      <c r="R32" s="116" t="s">
        <v>1</v>
      </c>
      <c r="S32" s="40"/>
      <c r="T32" s="40"/>
      <c r="U32" s="40"/>
      <c r="V32" s="40" t="s">
        <v>31</v>
      </c>
      <c r="W32" s="70">
        <f>SUM(C13:C24)</f>
        <v>49999.999999999993</v>
      </c>
      <c r="X32" s="28"/>
      <c r="Y32" s="87"/>
      <c r="Z32" s="42"/>
      <c r="AA32" s="42"/>
      <c r="AB32" s="42"/>
      <c r="AC32" s="42"/>
      <c r="AD32" s="91"/>
      <c r="AE32" s="28"/>
      <c r="AF32" s="101" t="s">
        <v>193</v>
      </c>
      <c r="AG32" s="43"/>
      <c r="AH32" s="43"/>
      <c r="AI32" s="43"/>
      <c r="AJ32" s="43"/>
      <c r="AK32" s="44"/>
    </row>
    <row r="33" spans="1:37" x14ac:dyDescent="0.25">
      <c r="A33" s="28">
        <v>19</v>
      </c>
      <c r="B33" s="33">
        <v>44593</v>
      </c>
      <c r="C33" s="31">
        <f t="shared" si="0"/>
        <v>4166.666666666667</v>
      </c>
      <c r="D33" s="31">
        <f t="shared" si="4"/>
        <v>3973.6125051613444</v>
      </c>
      <c r="E33" s="31">
        <f t="shared" si="5"/>
        <v>3874.4089292376611</v>
      </c>
      <c r="F33" s="31">
        <f t="shared" si="7"/>
        <v>154976.35716950649</v>
      </c>
      <c r="G33" s="31">
        <f t="shared" si="8"/>
        <v>396.04024331666398</v>
      </c>
      <c r="H33" s="32">
        <f t="shared" si="9"/>
        <v>158812.13756998227</v>
      </c>
      <c r="I33" s="29"/>
      <c r="J33" s="28">
        <v>7</v>
      </c>
      <c r="K33" s="31">
        <f t="shared" si="10"/>
        <v>1250</v>
      </c>
      <c r="L33" s="31">
        <f t="shared" si="11"/>
        <v>1228.342119572791</v>
      </c>
      <c r="M33" s="31">
        <f t="shared" si="6"/>
        <v>84.405909746135151</v>
      </c>
      <c r="N33" s="32">
        <f t="shared" si="12"/>
        <v>33846.769808200195</v>
      </c>
      <c r="P33" s="133" t="s">
        <v>133</v>
      </c>
      <c r="Q33" s="116"/>
      <c r="R33" s="116"/>
      <c r="S33" s="40"/>
      <c r="T33" s="40"/>
      <c r="U33" s="40"/>
      <c r="V33" s="40"/>
      <c r="W33" s="81"/>
      <c r="X33" s="28"/>
      <c r="Y33" s="87"/>
      <c r="Z33" s="42"/>
      <c r="AA33" s="42"/>
      <c r="AB33" s="42"/>
      <c r="AC33" s="42"/>
      <c r="AD33" s="91"/>
      <c r="AE33" s="28"/>
      <c r="AF33" s="101"/>
      <c r="AG33" s="43"/>
      <c r="AH33" s="43"/>
      <c r="AI33" s="43"/>
      <c r="AJ33" s="43"/>
      <c r="AK33" s="44"/>
    </row>
    <row r="34" spans="1:37" x14ac:dyDescent="0.25">
      <c r="A34" s="28">
        <v>20</v>
      </c>
      <c r="B34" s="33">
        <v>44621</v>
      </c>
      <c r="C34" s="31">
        <f t="shared" si="0"/>
        <v>4166.666666666667</v>
      </c>
      <c r="D34" s="31">
        <f t="shared" si="4"/>
        <v>3963.7032470437348</v>
      </c>
      <c r="E34" s="31">
        <f t="shared" si="5"/>
        <v>3874.4089292376611</v>
      </c>
      <c r="F34" s="31">
        <f t="shared" si="7"/>
        <v>151101.94824026883</v>
      </c>
      <c r="G34" s="31">
        <f t="shared" si="8"/>
        <v>386.61367725828904</v>
      </c>
      <c r="H34" s="32">
        <f t="shared" si="9"/>
        <v>155032.08458057389</v>
      </c>
      <c r="I34" s="29"/>
      <c r="J34" s="28">
        <v>8</v>
      </c>
      <c r="K34" s="31">
        <f t="shared" si="10"/>
        <v>1250</v>
      </c>
      <c r="L34" s="31">
        <f t="shared" si="11"/>
        <v>1225.2789222671231</v>
      </c>
      <c r="M34" s="31">
        <f t="shared" si="6"/>
        <v>81.49192452050049</v>
      </c>
      <c r="N34" s="32">
        <f t="shared" si="12"/>
        <v>32678.261732720697</v>
      </c>
      <c r="P34" s="115"/>
      <c r="Q34" s="116"/>
      <c r="R34" s="116"/>
      <c r="S34" s="40"/>
      <c r="T34" s="40"/>
      <c r="U34" s="40"/>
      <c r="V34" s="40"/>
      <c r="W34" s="81"/>
      <c r="X34" s="28"/>
      <c r="Y34" s="87"/>
      <c r="Z34" s="42"/>
      <c r="AA34" s="42"/>
      <c r="AB34" s="42"/>
      <c r="AC34" s="42"/>
      <c r="AD34" s="91"/>
      <c r="AE34" s="28"/>
      <c r="AF34" s="101" t="s">
        <v>0</v>
      </c>
      <c r="AG34" s="43">
        <v>3240106</v>
      </c>
      <c r="AH34" s="43"/>
      <c r="AI34" s="43" t="s">
        <v>152</v>
      </c>
      <c r="AJ34" s="43" t="s">
        <v>271</v>
      </c>
      <c r="AK34" s="45">
        <f>AK36-AK35</f>
        <v>13935.358422945579</v>
      </c>
    </row>
    <row r="35" spans="1:37" x14ac:dyDescent="0.25">
      <c r="A35" s="28">
        <v>21</v>
      </c>
      <c r="B35" s="33">
        <v>44652</v>
      </c>
      <c r="C35" s="31">
        <f t="shared" si="0"/>
        <v>4166.666666666667</v>
      </c>
      <c r="D35" s="31">
        <f t="shared" si="4"/>
        <v>3953.8187002930026</v>
      </c>
      <c r="E35" s="31">
        <f t="shared" si="5"/>
        <v>3874.4089292376611</v>
      </c>
      <c r="F35" s="31">
        <f t="shared" si="7"/>
        <v>147227.53931103117</v>
      </c>
      <c r="G35" s="31">
        <f t="shared" si="8"/>
        <v>377.16354478476808</v>
      </c>
      <c r="H35" s="32">
        <f t="shared" si="9"/>
        <v>151242.581458692</v>
      </c>
      <c r="I35" s="29"/>
      <c r="J35" s="28">
        <v>9</v>
      </c>
      <c r="K35" s="31">
        <f t="shared" si="10"/>
        <v>1250</v>
      </c>
      <c r="L35" s="31">
        <f t="shared" si="11"/>
        <v>1222.2233638574794</v>
      </c>
      <c r="M35" s="31">
        <f t="shared" si="6"/>
        <v>78.570654331801748</v>
      </c>
      <c r="N35" s="32">
        <f t="shared" si="12"/>
        <v>31506.832387052498</v>
      </c>
      <c r="P35" s="115"/>
      <c r="Q35" s="116"/>
      <c r="R35" s="116"/>
      <c r="S35" s="40"/>
      <c r="T35" s="40"/>
      <c r="U35" s="40"/>
      <c r="V35" s="40"/>
      <c r="W35" s="81"/>
      <c r="X35" s="28"/>
      <c r="Y35" s="87"/>
      <c r="Z35" s="42"/>
      <c r="AA35" s="42"/>
      <c r="AB35" s="42"/>
      <c r="AC35" s="42"/>
      <c r="AD35" s="91"/>
      <c r="AE35" s="28"/>
      <c r="AF35" s="101" t="s">
        <v>0</v>
      </c>
      <c r="AG35" s="43">
        <v>2422020</v>
      </c>
      <c r="AH35" s="43"/>
      <c r="AI35" s="43" t="s">
        <v>152</v>
      </c>
      <c r="AJ35" s="43" t="s">
        <v>161</v>
      </c>
      <c r="AK35" s="45">
        <f>SUM(M26:M37)</f>
        <v>1064.6415770544206</v>
      </c>
    </row>
    <row r="36" spans="1:37" x14ac:dyDescent="0.25">
      <c r="A36" s="28">
        <v>22</v>
      </c>
      <c r="B36" s="33">
        <v>44682</v>
      </c>
      <c r="C36" s="31">
        <f t="shared" si="0"/>
        <v>4166.666666666667</v>
      </c>
      <c r="D36" s="31">
        <f t="shared" si="4"/>
        <v>3943.9588032847914</v>
      </c>
      <c r="E36" s="31">
        <f t="shared" si="5"/>
        <v>3874.4089292376611</v>
      </c>
      <c r="F36" s="31">
        <f t="shared" si="7"/>
        <v>143353.13038179351</v>
      </c>
      <c r="G36" s="31">
        <f t="shared" si="8"/>
        <v>367.68978698006339</v>
      </c>
      <c r="H36" s="32">
        <f t="shared" si="9"/>
        <v>147443.60457900542</v>
      </c>
      <c r="I36" s="29"/>
      <c r="J36" s="28">
        <v>10</v>
      </c>
      <c r="K36" s="31">
        <f t="shared" si="10"/>
        <v>1250</v>
      </c>
      <c r="L36" s="31">
        <f t="shared" si="11"/>
        <v>1219.175425294244</v>
      </c>
      <c r="M36" s="31">
        <f t="shared" si="6"/>
        <v>75.642080967631244</v>
      </c>
      <c r="N36" s="32">
        <f t="shared" si="12"/>
        <v>30332.474468020129</v>
      </c>
      <c r="P36" s="115"/>
      <c r="Q36" s="116"/>
      <c r="R36" s="116"/>
      <c r="S36" s="40"/>
      <c r="T36" s="40"/>
      <c r="U36" s="40"/>
      <c r="V36" s="40"/>
      <c r="W36" s="81"/>
      <c r="X36" s="28"/>
      <c r="Y36" s="87"/>
      <c r="Z36" s="42"/>
      <c r="AA36" s="42"/>
      <c r="AB36" s="42"/>
      <c r="AC36" s="42"/>
      <c r="AD36" s="91"/>
      <c r="AE36" s="28"/>
      <c r="AF36" s="101" t="s">
        <v>1</v>
      </c>
      <c r="AG36" s="43"/>
      <c r="AH36" s="43"/>
      <c r="AI36" s="43"/>
      <c r="AJ36" s="43" t="s">
        <v>31</v>
      </c>
      <c r="AK36" s="45">
        <f>SUM(K26:K37)</f>
        <v>15000</v>
      </c>
    </row>
    <row r="37" spans="1:37" ht="15.75" thickBot="1" x14ac:dyDescent="0.3">
      <c r="A37" s="28">
        <v>23</v>
      </c>
      <c r="B37" s="33">
        <v>44713</v>
      </c>
      <c r="C37" s="31">
        <f t="shared" si="0"/>
        <v>4166.666666666667</v>
      </c>
      <c r="D37" s="31">
        <f t="shared" si="4"/>
        <v>3934.1234945484202</v>
      </c>
      <c r="E37" s="31">
        <f t="shared" si="5"/>
        <v>3874.4089292376611</v>
      </c>
      <c r="F37" s="31">
        <f t="shared" si="7"/>
        <v>139478.72145255585</v>
      </c>
      <c r="G37" s="31">
        <f t="shared" si="8"/>
        <v>358.19234478084689</v>
      </c>
      <c r="H37" s="32">
        <f t="shared" si="9"/>
        <v>143635.1302571196</v>
      </c>
      <c r="I37" s="29"/>
      <c r="J37" s="28">
        <v>11</v>
      </c>
      <c r="K37" s="31">
        <f t="shared" si="10"/>
        <v>1250</v>
      </c>
      <c r="L37" s="31">
        <f>+K37/(1+F$1)^J37</f>
        <v>1216.135087575306</v>
      </c>
      <c r="M37" s="31">
        <f t="shared" si="6"/>
        <v>72.70618617005033</v>
      </c>
      <c r="N37" s="32">
        <f t="shared" si="12"/>
        <v>29155.180654190179</v>
      </c>
      <c r="P37" s="115"/>
      <c r="Q37" s="135"/>
      <c r="R37" s="135"/>
      <c r="S37" s="40"/>
      <c r="T37" s="40"/>
      <c r="U37" s="40"/>
      <c r="V37" s="40"/>
      <c r="W37" s="70"/>
      <c r="X37" s="28"/>
      <c r="Y37" s="87"/>
      <c r="Z37" s="42"/>
      <c r="AA37" s="42"/>
      <c r="AB37" s="42"/>
      <c r="AC37" s="42"/>
      <c r="AD37" s="91"/>
      <c r="AE37" s="28"/>
      <c r="AF37" s="101" t="s">
        <v>121</v>
      </c>
      <c r="AG37" s="43"/>
      <c r="AH37" s="43"/>
      <c r="AI37" s="43"/>
      <c r="AJ37" s="43"/>
      <c r="AK37" s="44"/>
    </row>
    <row r="38" spans="1:37" x14ac:dyDescent="0.25">
      <c r="A38" s="28">
        <v>24</v>
      </c>
      <c r="B38" s="33">
        <v>44743</v>
      </c>
      <c r="C38" s="31">
        <f t="shared" si="0"/>
        <v>4166.666666666667</v>
      </c>
      <c r="D38" s="31">
        <f t="shared" si="4"/>
        <v>3924.3127127665043</v>
      </c>
      <c r="E38" s="31">
        <f t="shared" si="5"/>
        <v>3874.4089292376611</v>
      </c>
      <c r="F38" s="31">
        <f t="shared" si="7"/>
        <v>135604.31252331819</v>
      </c>
      <c r="G38" s="31">
        <f t="shared" si="8"/>
        <v>348.67115897613235</v>
      </c>
      <c r="H38" s="32">
        <f t="shared" si="9"/>
        <v>139817.13474942907</v>
      </c>
      <c r="I38" s="29"/>
      <c r="J38" s="28">
        <v>12</v>
      </c>
      <c r="K38" s="31">
        <f t="shared" si="10"/>
        <v>1250</v>
      </c>
      <c r="L38" s="31">
        <f t="shared" si="11"/>
        <v>1213.102331745941</v>
      </c>
      <c r="M38" s="31">
        <f t="shared" si="6"/>
        <v>69.762951635475446</v>
      </c>
      <c r="N38" s="32">
        <f t="shared" si="12"/>
        <v>27974.943605825654</v>
      </c>
      <c r="P38" s="124" t="s">
        <v>114</v>
      </c>
      <c r="Q38" s="125" t="s">
        <v>108</v>
      </c>
      <c r="R38" s="125" t="s">
        <v>0</v>
      </c>
      <c r="S38" s="51">
        <v>2241002</v>
      </c>
      <c r="T38" s="51"/>
      <c r="U38" s="51"/>
      <c r="V38" s="51" t="s">
        <v>251</v>
      </c>
      <c r="W38" s="69">
        <f>SUM(E38:E49)</f>
        <v>46492.907150851919</v>
      </c>
      <c r="X38" s="28"/>
      <c r="Y38" s="89" t="s">
        <v>0</v>
      </c>
      <c r="Z38" s="54"/>
      <c r="AA38" s="54"/>
      <c r="AB38" s="54"/>
      <c r="AC38" s="54" t="s">
        <v>31</v>
      </c>
      <c r="AD38" s="94">
        <f>SUM(K38:K49)</f>
        <v>15000</v>
      </c>
      <c r="AE38" s="28"/>
      <c r="AF38" s="100" t="s">
        <v>0</v>
      </c>
      <c r="AG38" s="55">
        <v>2241002</v>
      </c>
      <c r="AH38" s="55"/>
      <c r="AI38" s="55"/>
      <c r="AJ38" s="55" t="s">
        <v>251</v>
      </c>
      <c r="AK38" s="58">
        <f>+N$25/3</f>
        <v>14363.513025711922</v>
      </c>
    </row>
    <row r="39" spans="1:37" x14ac:dyDescent="0.25">
      <c r="A39" s="28">
        <v>25</v>
      </c>
      <c r="B39" s="33">
        <v>44774</v>
      </c>
      <c r="C39" s="31">
        <f t="shared" si="0"/>
        <v>4166.666666666667</v>
      </c>
      <c r="D39" s="31">
        <f t="shared" si="4"/>
        <v>3914.5263967745673</v>
      </c>
      <c r="E39" s="31">
        <f t="shared" si="5"/>
        <v>3874.4089292376611</v>
      </c>
      <c r="F39" s="31">
        <f t="shared" si="7"/>
        <v>131729.90359408053</v>
      </c>
      <c r="G39" s="31">
        <f t="shared" si="8"/>
        <v>339.12617020690601</v>
      </c>
      <c r="H39" s="32">
        <f t="shared" si="9"/>
        <v>135989.59425296931</v>
      </c>
      <c r="I39" s="29"/>
      <c r="J39" s="28">
        <v>13</v>
      </c>
      <c r="K39" s="31">
        <f t="shared" si="10"/>
        <v>1250</v>
      </c>
      <c r="L39" s="31">
        <f t="shared" si="11"/>
        <v>1210.0771388986941</v>
      </c>
      <c r="M39" s="31">
        <f t="shared" si="6"/>
        <v>66.812359014564137</v>
      </c>
      <c r="N39" s="32">
        <f t="shared" si="12"/>
        <v>26791.755964840217</v>
      </c>
      <c r="P39" s="115"/>
      <c r="Q39" s="116"/>
      <c r="R39" s="116" t="s">
        <v>1</v>
      </c>
      <c r="S39" s="40">
        <v>5311002</v>
      </c>
      <c r="T39" s="40">
        <v>7353</v>
      </c>
      <c r="U39" s="40"/>
      <c r="V39" s="40" t="s">
        <v>105</v>
      </c>
      <c r="W39" s="70">
        <f>W38</f>
        <v>46492.907150851919</v>
      </c>
      <c r="X39" s="28"/>
      <c r="Y39" s="87" t="s">
        <v>1</v>
      </c>
      <c r="Z39" s="42">
        <v>1220014</v>
      </c>
      <c r="AA39" s="42"/>
      <c r="AB39" s="42" t="s">
        <v>152</v>
      </c>
      <c r="AC39" s="42" t="s">
        <v>195</v>
      </c>
      <c r="AD39" s="95">
        <f>AD38</f>
        <v>15000</v>
      </c>
      <c r="AE39" s="28"/>
      <c r="AF39" s="101" t="s">
        <v>1</v>
      </c>
      <c r="AG39" s="43">
        <v>5311002</v>
      </c>
      <c r="AH39" s="43">
        <v>7353</v>
      </c>
      <c r="AI39" s="43" t="s">
        <v>151</v>
      </c>
      <c r="AJ39" s="43" t="s">
        <v>105</v>
      </c>
      <c r="AK39" s="45">
        <f>AK38</f>
        <v>14363.513025711922</v>
      </c>
    </row>
    <row r="40" spans="1:37" x14ac:dyDescent="0.25">
      <c r="A40" s="28">
        <v>26</v>
      </c>
      <c r="B40" s="33">
        <v>44805</v>
      </c>
      <c r="C40" s="31">
        <f t="shared" si="0"/>
        <v>4166.666666666667</v>
      </c>
      <c r="D40" s="31">
        <f t="shared" si="4"/>
        <v>3904.7644855606659</v>
      </c>
      <c r="E40" s="31">
        <f t="shared" si="5"/>
        <v>3874.4089292376611</v>
      </c>
      <c r="F40" s="31">
        <f t="shared" si="7"/>
        <v>127855.49466484287</v>
      </c>
      <c r="G40" s="31">
        <f t="shared" si="8"/>
        <v>329.55731896575662</v>
      </c>
      <c r="H40" s="32">
        <f t="shared" si="9"/>
        <v>132152.48490526841</v>
      </c>
      <c r="I40" s="29"/>
      <c r="J40" s="28">
        <v>14</v>
      </c>
      <c r="K40" s="31">
        <f t="shared" si="10"/>
        <v>1250</v>
      </c>
      <c r="L40" s="31">
        <f t="shared" si="11"/>
        <v>1207.0594901732613</v>
      </c>
      <c r="M40" s="31">
        <f t="shared" si="6"/>
        <v>63.854389912100544</v>
      </c>
      <c r="N40" s="32">
        <f t="shared" si="12"/>
        <v>25605.610354752316</v>
      </c>
      <c r="P40" s="133" t="s">
        <v>190</v>
      </c>
      <c r="Q40" s="116"/>
      <c r="R40" s="116"/>
      <c r="S40" s="40"/>
      <c r="T40" s="40"/>
      <c r="U40" s="40"/>
      <c r="V40" s="40"/>
      <c r="W40" s="81"/>
      <c r="X40" s="28"/>
      <c r="Y40" s="87" t="s">
        <v>315</v>
      </c>
      <c r="Z40" s="42"/>
      <c r="AA40" s="42"/>
      <c r="AB40" s="42"/>
      <c r="AC40" s="42"/>
      <c r="AD40" s="95"/>
      <c r="AE40" s="28"/>
      <c r="AF40" s="101" t="s">
        <v>190</v>
      </c>
      <c r="AG40" s="43"/>
      <c r="AH40" s="43"/>
      <c r="AI40" s="43"/>
      <c r="AJ40" s="43"/>
      <c r="AK40" s="44"/>
    </row>
    <row r="41" spans="1:37" x14ac:dyDescent="0.25">
      <c r="A41" s="28">
        <v>27</v>
      </c>
      <c r="B41" s="33">
        <v>44835</v>
      </c>
      <c r="C41" s="31">
        <f t="shared" si="0"/>
        <v>4166.666666666667</v>
      </c>
      <c r="D41" s="31">
        <f t="shared" si="4"/>
        <v>3895.026918265004</v>
      </c>
      <c r="E41" s="31">
        <f t="shared" si="5"/>
        <v>3874.4089292376611</v>
      </c>
      <c r="F41" s="31">
        <f t="shared" si="7"/>
        <v>123981.08573560521</v>
      </c>
      <c r="G41" s="31">
        <f t="shared" si="8"/>
        <v>319.96454559650437</v>
      </c>
      <c r="H41" s="32">
        <f t="shared" si="9"/>
        <v>128305.78278419825</v>
      </c>
      <c r="I41" s="29"/>
      <c r="J41" s="28">
        <v>15</v>
      </c>
      <c r="K41" s="31">
        <f t="shared" si="10"/>
        <v>1250</v>
      </c>
      <c r="L41" s="31">
        <f t="shared" si="11"/>
        <v>1204.0493667563705</v>
      </c>
      <c r="M41" s="31">
        <f t="shared" si="6"/>
        <v>60.889025886880795</v>
      </c>
      <c r="N41" s="32">
        <f t="shared" si="12"/>
        <v>24416.499380639198</v>
      </c>
      <c r="P41" s="115"/>
      <c r="Q41" s="116"/>
      <c r="R41" s="116"/>
      <c r="S41" s="40"/>
      <c r="T41" s="40"/>
      <c r="U41" s="40"/>
      <c r="V41" s="40"/>
      <c r="W41" s="81"/>
      <c r="X41" s="28"/>
      <c r="Y41" s="87" t="s">
        <v>314</v>
      </c>
      <c r="Z41" s="42"/>
      <c r="AA41" s="42"/>
      <c r="AB41" s="42"/>
      <c r="AC41" s="42"/>
      <c r="AD41" s="91"/>
      <c r="AE41" s="28"/>
      <c r="AF41" s="101"/>
      <c r="AG41" s="43"/>
      <c r="AH41" s="43"/>
      <c r="AI41" s="43"/>
      <c r="AJ41" s="43"/>
      <c r="AK41" s="44"/>
    </row>
    <row r="42" spans="1:37" x14ac:dyDescent="0.25">
      <c r="A42" s="28">
        <v>28</v>
      </c>
      <c r="B42" s="33">
        <v>44866</v>
      </c>
      <c r="C42" s="31">
        <f t="shared" si="0"/>
        <v>4166.666666666667</v>
      </c>
      <c r="D42" s="31">
        <f t="shared" si="4"/>
        <v>3885.3136341795553</v>
      </c>
      <c r="E42" s="31">
        <f t="shared" si="5"/>
        <v>3874.4089292376611</v>
      </c>
      <c r="F42" s="31">
        <f t="shared" si="7"/>
        <v>120106.67680636756</v>
      </c>
      <c r="G42" s="31">
        <f t="shared" si="8"/>
        <v>310.34779029382895</v>
      </c>
      <c r="H42" s="32">
        <f t="shared" si="9"/>
        <v>124449.46390782541</v>
      </c>
      <c r="I42" s="29"/>
      <c r="J42" s="28">
        <v>16</v>
      </c>
      <c r="K42" s="31">
        <f t="shared" si="10"/>
        <v>1250</v>
      </c>
      <c r="L42" s="31">
        <f t="shared" si="11"/>
        <v>1201.0467498816661</v>
      </c>
      <c r="M42" s="31">
        <f t="shared" si="6"/>
        <v>57.916248451597994</v>
      </c>
      <c r="N42" s="32">
        <f t="shared" si="12"/>
        <v>23224.415629090796</v>
      </c>
      <c r="P42" s="115" t="s">
        <v>116</v>
      </c>
      <c r="Q42" s="116" t="s">
        <v>108</v>
      </c>
      <c r="R42" s="116" t="s">
        <v>0</v>
      </c>
      <c r="S42" s="40">
        <v>3240106</v>
      </c>
      <c r="T42" s="40"/>
      <c r="U42" s="40"/>
      <c r="V42" s="40" t="s">
        <v>271</v>
      </c>
      <c r="W42" s="70">
        <f>W44-W43</f>
        <v>46451.194743151915</v>
      </c>
      <c r="X42" s="28"/>
      <c r="Y42" s="87"/>
      <c r="Z42" s="42"/>
      <c r="AA42" s="42"/>
      <c r="AB42" s="42"/>
      <c r="AC42" s="42"/>
      <c r="AD42" s="91"/>
      <c r="AE42" s="28"/>
      <c r="AF42" s="101" t="s">
        <v>0</v>
      </c>
      <c r="AG42" s="43">
        <v>3240106</v>
      </c>
      <c r="AH42" s="43"/>
      <c r="AI42" s="43" t="s">
        <v>152</v>
      </c>
      <c r="AJ42" s="43" t="s">
        <v>271</v>
      </c>
      <c r="AK42" s="45">
        <f>AK44-AK43</f>
        <v>14359.215684312174</v>
      </c>
    </row>
    <row r="43" spans="1:37" x14ac:dyDescent="0.25">
      <c r="A43" s="28">
        <v>29</v>
      </c>
      <c r="B43" s="33">
        <v>44896</v>
      </c>
      <c r="C43" s="31">
        <f t="shared" si="0"/>
        <v>4166.666666666667</v>
      </c>
      <c r="D43" s="31">
        <f t="shared" si="4"/>
        <v>3875.6245727476853</v>
      </c>
      <c r="E43" s="31">
        <f t="shared" si="5"/>
        <v>3874.4089292376611</v>
      </c>
      <c r="F43" s="31">
        <f t="shared" si="7"/>
        <v>116232.2678771299</v>
      </c>
      <c r="G43" s="31">
        <f t="shared" si="8"/>
        <v>300.70699310289683</v>
      </c>
      <c r="H43" s="32">
        <f t="shared" si="9"/>
        <v>120583.50423426164</v>
      </c>
      <c r="I43" s="29"/>
      <c r="J43" s="28">
        <v>17</v>
      </c>
      <c r="K43" s="31">
        <f t="shared" si="10"/>
        <v>1250</v>
      </c>
      <c r="L43" s="31">
        <f t="shared" si="11"/>
        <v>1198.0516208295924</v>
      </c>
      <c r="M43" s="31">
        <f t="shared" si="6"/>
        <v>54.936039072726992</v>
      </c>
      <c r="N43" s="32">
        <f t="shared" si="12"/>
        <v>22029.351668163523</v>
      </c>
      <c r="P43" s="115"/>
      <c r="Q43" s="116"/>
      <c r="R43" s="116" t="s">
        <v>0</v>
      </c>
      <c r="S43" s="40">
        <v>2422020</v>
      </c>
      <c r="T43" s="40"/>
      <c r="U43" s="40"/>
      <c r="V43" s="40" t="s">
        <v>161</v>
      </c>
      <c r="W43" s="70">
        <f>SUM(G38:G49)</f>
        <v>3548.8052568480807</v>
      </c>
      <c r="X43" s="28"/>
      <c r="Y43" s="87"/>
      <c r="Z43" s="42"/>
      <c r="AA43" s="42"/>
      <c r="AB43" s="42"/>
      <c r="AC43" s="42"/>
      <c r="AD43" s="91"/>
      <c r="AE43" s="28"/>
      <c r="AF43" s="101" t="s">
        <v>0</v>
      </c>
      <c r="AG43" s="43">
        <v>2422020</v>
      </c>
      <c r="AH43" s="43"/>
      <c r="AI43" s="43" t="s">
        <v>152</v>
      </c>
      <c r="AJ43" s="43" t="s">
        <v>161</v>
      </c>
      <c r="AK43" s="45">
        <f>SUM(M38:M49)</f>
        <v>640.78431568782639</v>
      </c>
    </row>
    <row r="44" spans="1:37" x14ac:dyDescent="0.25">
      <c r="A44" s="28">
        <v>30</v>
      </c>
      <c r="B44" s="33">
        <v>44927</v>
      </c>
      <c r="C44" s="31">
        <f t="shared" si="0"/>
        <v>4166.666666666667</v>
      </c>
      <c r="D44" s="31">
        <f t="shared" si="4"/>
        <v>3865.959673563777</v>
      </c>
      <c r="E44" s="31">
        <f t="shared" si="5"/>
        <v>3874.4089292376611</v>
      </c>
      <c r="F44" s="31">
        <f t="shared" si="7"/>
        <v>112357.85894789224</v>
      </c>
      <c r="G44" s="31">
        <f t="shared" si="8"/>
        <v>291.0420939189874</v>
      </c>
      <c r="H44" s="32">
        <f t="shared" si="9"/>
        <v>116707.87966151396</v>
      </c>
      <c r="I44" s="29"/>
      <c r="J44" s="28">
        <v>18</v>
      </c>
      <c r="K44" s="31">
        <f t="shared" si="10"/>
        <v>1250</v>
      </c>
      <c r="L44" s="31">
        <f t="shared" si="11"/>
        <v>1195.0639609272739</v>
      </c>
      <c r="M44" s="31">
        <f t="shared" si="6"/>
        <v>51.948379170408806</v>
      </c>
      <c r="N44" s="32">
        <f t="shared" si="12"/>
        <v>20831.300047333931</v>
      </c>
      <c r="P44" s="115"/>
      <c r="Q44" s="116"/>
      <c r="R44" s="116" t="s">
        <v>1</v>
      </c>
      <c r="S44" s="40"/>
      <c r="T44" s="40"/>
      <c r="U44" s="40"/>
      <c r="V44" s="40" t="s">
        <v>31</v>
      </c>
      <c r="W44" s="70">
        <f>SUM(C26:C37)</f>
        <v>49999.999999999993</v>
      </c>
      <c r="X44" s="28"/>
      <c r="Y44" s="87"/>
      <c r="Z44" s="42"/>
      <c r="AA44" s="42"/>
      <c r="AB44" s="42"/>
      <c r="AC44" s="42"/>
      <c r="AD44" s="91"/>
      <c r="AE44" s="28"/>
      <c r="AF44" s="101" t="s">
        <v>1</v>
      </c>
      <c r="AG44" s="43"/>
      <c r="AH44" s="43"/>
      <c r="AI44" s="43"/>
      <c r="AJ44" s="43" t="s">
        <v>31</v>
      </c>
      <c r="AK44" s="45">
        <f>SUM(K38:K49)</f>
        <v>15000</v>
      </c>
    </row>
    <row r="45" spans="1:37" x14ac:dyDescent="0.25">
      <c r="A45" s="28">
        <v>31</v>
      </c>
      <c r="B45" s="33">
        <v>44958</v>
      </c>
      <c r="C45" s="31">
        <f t="shared" si="0"/>
        <v>4166.666666666667</v>
      </c>
      <c r="D45" s="31">
        <f t="shared" si="4"/>
        <v>3856.3188763728454</v>
      </c>
      <c r="E45" s="31">
        <f t="shared" si="5"/>
        <v>3874.4089292376611</v>
      </c>
      <c r="F45" s="31">
        <f t="shared" si="7"/>
        <v>108483.45001865458</v>
      </c>
      <c r="G45" s="31">
        <f t="shared" si="8"/>
        <v>281.35303248711824</v>
      </c>
      <c r="H45" s="32">
        <f t="shared" si="9"/>
        <v>112822.56602733441</v>
      </c>
      <c r="I45" s="29"/>
      <c r="J45" s="28">
        <v>19</v>
      </c>
      <c r="K45" s="31">
        <f t="shared" si="10"/>
        <v>1250</v>
      </c>
      <c r="L45" s="31">
        <f t="shared" si="11"/>
        <v>1192.0837515484031</v>
      </c>
      <c r="M45" s="31">
        <f t="shared" si="6"/>
        <v>48.953250118334829</v>
      </c>
      <c r="N45" s="32">
        <f t="shared" si="12"/>
        <v>19630.253297452266</v>
      </c>
      <c r="P45" s="133" t="s">
        <v>134</v>
      </c>
      <c r="Q45" s="116"/>
      <c r="R45" s="116"/>
      <c r="S45" s="40"/>
      <c r="T45" s="40"/>
      <c r="U45" s="40"/>
      <c r="V45" s="40"/>
      <c r="W45" s="81"/>
      <c r="X45" s="28"/>
      <c r="Y45" s="87"/>
      <c r="Z45" s="42"/>
      <c r="AA45" s="42"/>
      <c r="AB45" s="42"/>
      <c r="AC45" s="42"/>
      <c r="AD45" s="91"/>
      <c r="AE45" s="28"/>
      <c r="AF45" s="101" t="s">
        <v>123</v>
      </c>
      <c r="AG45" s="43"/>
      <c r="AH45" s="43"/>
      <c r="AI45" s="43"/>
      <c r="AJ45" s="43"/>
      <c r="AK45" s="44"/>
    </row>
    <row r="46" spans="1:37" x14ac:dyDescent="0.25">
      <c r="A46" s="28">
        <v>32</v>
      </c>
      <c r="B46" s="33">
        <v>44986</v>
      </c>
      <c r="C46" s="31">
        <f t="shared" si="0"/>
        <v>4166.666666666667</v>
      </c>
      <c r="D46" s="31">
        <f t="shared" si="4"/>
        <v>3846.7021210701691</v>
      </c>
      <c r="E46" s="31">
        <f t="shared" si="5"/>
        <v>3874.4089292376611</v>
      </c>
      <c r="F46" s="31">
        <f t="shared" si="7"/>
        <v>104609.04108941692</v>
      </c>
      <c r="G46" s="31">
        <f t="shared" si="8"/>
        <v>271.63974840166935</v>
      </c>
      <c r="H46" s="32">
        <f t="shared" si="9"/>
        <v>108927.5391090694</v>
      </c>
      <c r="I46" s="29"/>
      <c r="J46" s="28">
        <v>20</v>
      </c>
      <c r="K46" s="31">
        <f t="shared" si="10"/>
        <v>1250</v>
      </c>
      <c r="L46" s="31">
        <f t="shared" si="11"/>
        <v>1189.1109741131204</v>
      </c>
      <c r="M46" s="31">
        <f t="shared" si="6"/>
        <v>45.950633243630662</v>
      </c>
      <c r="N46" s="32">
        <f t="shared" si="12"/>
        <v>18426.203930695898</v>
      </c>
      <c r="P46" s="115"/>
      <c r="Q46" s="116"/>
      <c r="R46" s="116"/>
      <c r="S46" s="40"/>
      <c r="T46" s="40"/>
      <c r="U46" s="40"/>
      <c r="V46" s="40"/>
      <c r="W46" s="81"/>
      <c r="X46" s="28"/>
      <c r="Y46" s="87"/>
      <c r="Z46" s="42"/>
      <c r="AA46" s="42"/>
      <c r="AB46" s="42"/>
      <c r="AC46" s="42"/>
      <c r="AD46" s="91"/>
      <c r="AE46" s="28"/>
      <c r="AF46" s="101"/>
      <c r="AG46" s="43"/>
      <c r="AH46" s="43"/>
      <c r="AI46" s="43"/>
      <c r="AJ46" s="43"/>
      <c r="AK46" s="44"/>
    </row>
    <row r="47" spans="1:37" x14ac:dyDescent="0.25">
      <c r="A47" s="28">
        <v>33</v>
      </c>
      <c r="B47" s="33">
        <v>45017</v>
      </c>
      <c r="C47" s="31">
        <f t="shared" si="0"/>
        <v>4166.666666666667</v>
      </c>
      <c r="D47" s="31">
        <f t="shared" si="4"/>
        <v>3837.1093477009172</v>
      </c>
      <c r="E47" s="31">
        <f t="shared" si="5"/>
        <v>3874.4089292376611</v>
      </c>
      <c r="F47" s="31">
        <f t="shared" si="7"/>
        <v>100734.63216017926</v>
      </c>
      <c r="G47" s="31">
        <f t="shared" si="8"/>
        <v>261.90218110600682</v>
      </c>
      <c r="H47" s="32">
        <f t="shared" si="9"/>
        <v>105022.77462350874</v>
      </c>
      <c r="I47" s="29"/>
      <c r="J47" s="28">
        <v>21</v>
      </c>
      <c r="K47" s="31">
        <f t="shared" si="10"/>
        <v>1250</v>
      </c>
      <c r="L47" s="31">
        <f t="shared" si="11"/>
        <v>1186.1456100879006</v>
      </c>
      <c r="M47" s="31">
        <f t="shared" si="6"/>
        <v>42.940509826739742</v>
      </c>
      <c r="N47" s="32">
        <f t="shared" si="12"/>
        <v>17219.144440522636</v>
      </c>
      <c r="P47" s="115"/>
      <c r="Q47" s="116"/>
      <c r="R47" s="116"/>
      <c r="S47" s="40"/>
      <c r="T47" s="40"/>
      <c r="U47" s="40"/>
      <c r="V47" s="40"/>
      <c r="W47" s="81"/>
      <c r="X47" s="28"/>
      <c r="Y47" s="87"/>
      <c r="Z47" s="42"/>
      <c r="AA47" s="42"/>
      <c r="AB47" s="42"/>
      <c r="AC47" s="42"/>
      <c r="AD47" s="91"/>
      <c r="AE47" s="28"/>
      <c r="AF47" s="101"/>
      <c r="AG47" s="43"/>
      <c r="AH47" s="43"/>
      <c r="AI47" s="43"/>
      <c r="AJ47" s="43"/>
      <c r="AK47" s="44"/>
    </row>
    <row r="48" spans="1:37" x14ac:dyDescent="0.25">
      <c r="A48" s="28">
        <v>34</v>
      </c>
      <c r="B48" s="33">
        <v>45047</v>
      </c>
      <c r="C48" s="31">
        <f t="shared" si="0"/>
        <v>4166.666666666667</v>
      </c>
      <c r="D48" s="31">
        <f t="shared" si="4"/>
        <v>3827.5404964597683</v>
      </c>
      <c r="E48" s="31">
        <f t="shared" si="5"/>
        <v>3874.4089292376611</v>
      </c>
      <c r="F48" s="31">
        <f t="shared" si="7"/>
        <v>96860.223230941599</v>
      </c>
      <c r="G48" s="31">
        <f t="shared" si="8"/>
        <v>252.14026989210518</v>
      </c>
      <c r="H48" s="32">
        <f t="shared" si="9"/>
        <v>101108.24822673417</v>
      </c>
      <c r="I48" s="29"/>
      <c r="J48" s="28">
        <v>22</v>
      </c>
      <c r="K48" s="31">
        <f t="shared" si="10"/>
        <v>1250</v>
      </c>
      <c r="L48" s="31">
        <f t="shared" si="11"/>
        <v>1183.1876409854374</v>
      </c>
      <c r="M48" s="31">
        <f t="shared" si="6"/>
        <v>39.922861101306587</v>
      </c>
      <c r="N48" s="32">
        <f t="shared" si="12"/>
        <v>16009.067301623942</v>
      </c>
      <c r="P48" s="115"/>
      <c r="Q48" s="116"/>
      <c r="R48" s="116"/>
      <c r="S48" s="40"/>
      <c r="T48" s="40"/>
      <c r="U48" s="40"/>
      <c r="V48" s="40"/>
      <c r="W48" s="81"/>
      <c r="X48" s="28"/>
      <c r="Y48" s="87"/>
      <c r="Z48" s="42"/>
      <c r="AA48" s="42"/>
      <c r="AB48" s="42"/>
      <c r="AC48" s="42"/>
      <c r="AD48" s="91"/>
      <c r="AE48" s="28"/>
      <c r="AF48" s="101"/>
      <c r="AG48" s="43"/>
      <c r="AH48" s="43"/>
      <c r="AI48" s="43"/>
      <c r="AJ48" s="43"/>
      <c r="AK48" s="44"/>
    </row>
    <row r="49" spans="1:37" ht="15.75" thickBot="1" x14ac:dyDescent="0.3">
      <c r="A49" s="28">
        <v>35</v>
      </c>
      <c r="B49" s="33">
        <v>45078</v>
      </c>
      <c r="C49" s="31">
        <f t="shared" si="0"/>
        <v>4166.666666666667</v>
      </c>
      <c r="D49" s="31">
        <f t="shared" si="4"/>
        <v>3817.9955076905421</v>
      </c>
      <c r="E49" s="31">
        <f t="shared" si="5"/>
        <v>3874.4089292376611</v>
      </c>
      <c r="F49" s="31">
        <f t="shared" si="7"/>
        <v>92985.81430170394</v>
      </c>
      <c r="G49" s="31">
        <f t="shared" si="8"/>
        <v>242.35395390016876</v>
      </c>
      <c r="H49" s="32">
        <f t="shared" si="9"/>
        <v>97183.935513967663</v>
      </c>
      <c r="I49" s="29"/>
      <c r="J49" s="28">
        <v>23</v>
      </c>
      <c r="K49" s="31">
        <f t="shared" si="10"/>
        <v>1250</v>
      </c>
      <c r="L49" s="31">
        <f t="shared" si="11"/>
        <v>1180.2370483645259</v>
      </c>
      <c r="M49" s="31">
        <f t="shared" si="6"/>
        <v>36.897668254059852</v>
      </c>
      <c r="N49" s="32">
        <f t="shared" si="12"/>
        <v>14795.964969878001</v>
      </c>
      <c r="P49" s="115"/>
      <c r="Q49" s="116"/>
      <c r="R49" s="116"/>
      <c r="S49" s="40"/>
      <c r="T49" s="40"/>
      <c r="U49" s="40"/>
      <c r="V49" s="40"/>
      <c r="W49" s="81"/>
      <c r="X49" s="28"/>
      <c r="Y49" s="92"/>
      <c r="Z49" s="48"/>
      <c r="AA49" s="48"/>
      <c r="AB49" s="48"/>
      <c r="AC49" s="48"/>
      <c r="AD49" s="93"/>
      <c r="AE49" s="28"/>
      <c r="AF49" s="102"/>
      <c r="AG49" s="49"/>
      <c r="AH49" s="49"/>
      <c r="AI49" s="49"/>
      <c r="AJ49" s="49"/>
      <c r="AK49" s="50"/>
    </row>
    <row r="50" spans="1:37" x14ac:dyDescent="0.25">
      <c r="A50" s="28">
        <v>36</v>
      </c>
      <c r="B50" s="33">
        <v>45108</v>
      </c>
      <c r="C50" s="31">
        <f t="shared" si="0"/>
        <v>4166.666666666667</v>
      </c>
      <c r="D50" s="31">
        <f t="shared" si="4"/>
        <v>3808.4743218858271</v>
      </c>
      <c r="E50" s="31">
        <f t="shared" si="5"/>
        <v>3874.4089292376611</v>
      </c>
      <c r="F50" s="31">
        <f t="shared" si="7"/>
        <v>89111.405372466281</v>
      </c>
      <c r="G50" s="31">
        <f t="shared" si="8"/>
        <v>232.54317211825247</v>
      </c>
      <c r="H50" s="32">
        <f t="shared" si="9"/>
        <v>93249.812019419245</v>
      </c>
      <c r="I50" s="29"/>
      <c r="J50" s="28">
        <v>24</v>
      </c>
      <c r="K50" s="31">
        <f t="shared" si="10"/>
        <v>1250</v>
      </c>
      <c r="L50" s="31">
        <f t="shared" si="11"/>
        <v>1177.2938138299512</v>
      </c>
      <c r="M50" s="31">
        <f t="shared" si="6"/>
        <v>33.864912424695007</v>
      </c>
      <c r="N50" s="32">
        <f t="shared" si="12"/>
        <v>13579.829882302696</v>
      </c>
      <c r="P50" s="124" t="s">
        <v>118</v>
      </c>
      <c r="Q50" s="125" t="s">
        <v>140</v>
      </c>
      <c r="R50" s="125" t="s">
        <v>0</v>
      </c>
      <c r="S50" s="51">
        <v>2241002</v>
      </c>
      <c r="T50" s="51"/>
      <c r="U50" s="51"/>
      <c r="V50" s="51" t="s">
        <v>251</v>
      </c>
      <c r="W50" s="69">
        <f>SUM(E50:E61)</f>
        <v>46492.907150851919</v>
      </c>
      <c r="X50" s="28"/>
      <c r="Y50" s="89" t="s">
        <v>0</v>
      </c>
      <c r="Z50" s="54"/>
      <c r="AA50" s="54"/>
      <c r="AB50" s="54"/>
      <c r="AC50" s="54" t="s">
        <v>31</v>
      </c>
      <c r="AD50" s="94">
        <f>SUM(K50:K61)</f>
        <v>15000</v>
      </c>
      <c r="AE50" s="28"/>
      <c r="AF50" s="101" t="s">
        <v>0</v>
      </c>
      <c r="AG50" s="43">
        <v>2241002</v>
      </c>
      <c r="AH50" s="43"/>
      <c r="AI50" s="43"/>
      <c r="AJ50" s="43" t="s">
        <v>251</v>
      </c>
      <c r="AK50" s="45">
        <f>+N$25/3</f>
        <v>14363.513025711922</v>
      </c>
    </row>
    <row r="51" spans="1:37" x14ac:dyDescent="0.25">
      <c r="A51" s="28">
        <v>37</v>
      </c>
      <c r="B51" s="33">
        <v>45139</v>
      </c>
      <c r="C51" s="31">
        <f t="shared" si="0"/>
        <v>4166.666666666667</v>
      </c>
      <c r="D51" s="31">
        <f t="shared" si="4"/>
        <v>3798.9768796866106</v>
      </c>
      <c r="E51" s="31">
        <f t="shared" si="5"/>
        <v>3874.4089292376611</v>
      </c>
      <c r="F51" s="31">
        <f t="shared" si="7"/>
        <v>85236.996443228622</v>
      </c>
      <c r="G51" s="31">
        <f t="shared" si="8"/>
        <v>222.70786338188145</v>
      </c>
      <c r="H51" s="32">
        <f t="shared" si="9"/>
        <v>89305.853216134448</v>
      </c>
      <c r="I51" s="29"/>
      <c r="J51" s="28">
        <v>25</v>
      </c>
      <c r="K51" s="31">
        <f t="shared" si="10"/>
        <v>1250</v>
      </c>
      <c r="L51" s="31">
        <f t="shared" si="11"/>
        <v>1174.3579190323701</v>
      </c>
      <c r="M51" s="31">
        <f t="shared" si="6"/>
        <v>30.824574705756742</v>
      </c>
      <c r="N51" s="32">
        <f t="shared" si="12"/>
        <v>12360.654457008453</v>
      </c>
      <c r="P51" s="115"/>
      <c r="Q51" s="116"/>
      <c r="R51" s="116" t="s">
        <v>1</v>
      </c>
      <c r="S51" s="40">
        <v>5311002</v>
      </c>
      <c r="T51" s="40">
        <v>7353</v>
      </c>
      <c r="U51" s="40"/>
      <c r="V51" s="40" t="s">
        <v>105</v>
      </c>
      <c r="W51" s="70">
        <f>W50</f>
        <v>46492.907150851919</v>
      </c>
      <c r="X51" s="28"/>
      <c r="Y51" s="87" t="s">
        <v>1</v>
      </c>
      <c r="Z51" s="42">
        <v>1220014</v>
      </c>
      <c r="AA51" s="42"/>
      <c r="AB51" s="42" t="s">
        <v>152</v>
      </c>
      <c r="AC51" s="42" t="s">
        <v>195</v>
      </c>
      <c r="AD51" s="95">
        <f>AD50</f>
        <v>15000</v>
      </c>
      <c r="AE51" s="28"/>
      <c r="AF51" s="101" t="s">
        <v>1</v>
      </c>
      <c r="AG51" s="43">
        <v>5311002</v>
      </c>
      <c r="AH51" s="43">
        <v>7353</v>
      </c>
      <c r="AI51" s="43" t="s">
        <v>151</v>
      </c>
      <c r="AJ51" s="43" t="s">
        <v>105</v>
      </c>
      <c r="AK51" s="45">
        <f>AK50</f>
        <v>14363.513025711922</v>
      </c>
    </row>
    <row r="52" spans="1:37" x14ac:dyDescent="0.25">
      <c r="A52" s="28">
        <v>38</v>
      </c>
      <c r="B52" s="33">
        <v>45170</v>
      </c>
      <c r="C52" s="31">
        <f t="shared" si="0"/>
        <v>4166.666666666667</v>
      </c>
      <c r="D52" s="31">
        <f t="shared" si="4"/>
        <v>3789.5031218819067</v>
      </c>
      <c r="E52" s="31">
        <f t="shared" si="5"/>
        <v>3874.4089292376611</v>
      </c>
      <c r="F52" s="31">
        <f t="shared" si="7"/>
        <v>81362.587513990962</v>
      </c>
      <c r="G52" s="31">
        <f t="shared" si="8"/>
        <v>212.84796637366944</v>
      </c>
      <c r="H52" s="32">
        <f t="shared" si="9"/>
        <v>85352.034515841442</v>
      </c>
      <c r="I52" s="29"/>
      <c r="J52" s="28">
        <v>26</v>
      </c>
      <c r="K52" s="31">
        <f t="shared" si="10"/>
        <v>1250</v>
      </c>
      <c r="L52" s="31">
        <f t="shared" si="11"/>
        <v>1171.4293456681996</v>
      </c>
      <c r="M52" s="31">
        <f t="shared" si="6"/>
        <v>27.776636142521134</v>
      </c>
      <c r="N52" s="32">
        <f t="shared" si="12"/>
        <v>11138.431093150975</v>
      </c>
      <c r="P52" s="133" t="s">
        <v>191</v>
      </c>
      <c r="Q52" s="116"/>
      <c r="R52" s="116"/>
      <c r="S52" s="40"/>
      <c r="T52" s="40"/>
      <c r="U52" s="40"/>
      <c r="V52" s="40"/>
      <c r="W52" s="81"/>
      <c r="X52" s="28"/>
      <c r="Y52" s="87" t="s">
        <v>312</v>
      </c>
      <c r="Z52" s="42"/>
      <c r="AA52" s="42"/>
      <c r="AB52" s="42"/>
      <c r="AC52" s="42"/>
      <c r="AD52" s="95"/>
      <c r="AE52" s="28"/>
      <c r="AF52" s="101" t="s">
        <v>191</v>
      </c>
      <c r="AG52" s="43"/>
      <c r="AH52" s="43"/>
      <c r="AI52" s="43"/>
      <c r="AJ52" s="43"/>
      <c r="AK52" s="44"/>
    </row>
    <row r="53" spans="1:37" x14ac:dyDescent="0.25">
      <c r="A53" s="28">
        <v>39</v>
      </c>
      <c r="B53" s="33">
        <v>45200</v>
      </c>
      <c r="C53" s="31">
        <f t="shared" si="0"/>
        <v>4166.666666666667</v>
      </c>
      <c r="D53" s="31">
        <f t="shared" si="4"/>
        <v>3780.0529894083857</v>
      </c>
      <c r="E53" s="31">
        <f t="shared" si="5"/>
        <v>3874.4089292376611</v>
      </c>
      <c r="F53" s="31">
        <f t="shared" si="7"/>
        <v>77488.178584753303</v>
      </c>
      <c r="G53" s="31">
        <f t="shared" si="8"/>
        <v>202.96341962293693</v>
      </c>
      <c r="H53" s="32">
        <f t="shared" si="9"/>
        <v>81388.331268797701</v>
      </c>
      <c r="I53" s="29"/>
      <c r="J53" s="28">
        <v>27</v>
      </c>
      <c r="K53" s="31">
        <f t="shared" si="10"/>
        <v>1250</v>
      </c>
      <c r="L53" s="31">
        <f t="shared" si="11"/>
        <v>1168.508075479501</v>
      </c>
      <c r="M53" s="31">
        <f t="shared" si="6"/>
        <v>24.72107773287744</v>
      </c>
      <c r="N53" s="32">
        <f t="shared" si="12"/>
        <v>9913.1521708838536</v>
      </c>
      <c r="P53" s="115"/>
      <c r="Q53" s="116"/>
      <c r="R53" s="116"/>
      <c r="S53" s="40"/>
      <c r="T53" s="40"/>
      <c r="U53" s="40"/>
      <c r="V53" s="40"/>
      <c r="W53" s="81"/>
      <c r="X53" s="28"/>
      <c r="Y53" s="87" t="s">
        <v>316</v>
      </c>
      <c r="Z53" s="42"/>
      <c r="AA53" s="42"/>
      <c r="AB53" s="42"/>
      <c r="AC53" s="42"/>
      <c r="AD53" s="91"/>
      <c r="AE53" s="28"/>
      <c r="AF53" s="101"/>
      <c r="AG53" s="43"/>
      <c r="AH53" s="43"/>
      <c r="AI53" s="43"/>
      <c r="AJ53" s="43"/>
      <c r="AK53" s="44"/>
    </row>
    <row r="54" spans="1:37" x14ac:dyDescent="0.25">
      <c r="A54" s="28">
        <v>40</v>
      </c>
      <c r="B54" s="33">
        <v>45231</v>
      </c>
      <c r="C54" s="31">
        <f t="shared" si="0"/>
        <v>4166.666666666667</v>
      </c>
      <c r="D54" s="31">
        <f t="shared" si="4"/>
        <v>3770.6264233500106</v>
      </c>
      <c r="E54" s="31">
        <f t="shared" si="5"/>
        <v>3874.4089292376611</v>
      </c>
      <c r="F54" s="31">
        <f t="shared" si="7"/>
        <v>73613.769655515644</v>
      </c>
      <c r="G54" s="31">
        <f t="shared" si="8"/>
        <v>193.05416150532758</v>
      </c>
      <c r="H54" s="32">
        <f t="shared" si="9"/>
        <v>77414.718763636352</v>
      </c>
      <c r="I54" s="29"/>
      <c r="J54" s="28">
        <v>28</v>
      </c>
      <c r="K54" s="31">
        <f t="shared" si="10"/>
        <v>1250</v>
      </c>
      <c r="L54" s="31">
        <f t="shared" si="11"/>
        <v>1165.5940902538664</v>
      </c>
      <c r="M54" s="31">
        <f t="shared" si="6"/>
        <v>21.657880427209633</v>
      </c>
      <c r="N54" s="32">
        <f t="shared" si="12"/>
        <v>8684.8100513110639</v>
      </c>
      <c r="P54" s="115" t="s">
        <v>120</v>
      </c>
      <c r="Q54" s="116" t="s">
        <v>140</v>
      </c>
      <c r="R54" s="116" t="s">
        <v>0</v>
      </c>
      <c r="S54" s="40">
        <v>3240106</v>
      </c>
      <c r="T54" s="40"/>
      <c r="U54" s="40"/>
      <c r="V54" s="40" t="s">
        <v>271</v>
      </c>
      <c r="W54" s="70">
        <f>W56-W55</f>
        <v>47864.05228104056</v>
      </c>
      <c r="X54" s="28"/>
      <c r="Y54" s="87"/>
      <c r="Z54" s="42"/>
      <c r="AA54" s="42"/>
      <c r="AB54" s="42"/>
      <c r="AC54" s="42"/>
      <c r="AD54" s="91"/>
      <c r="AE54" s="28"/>
      <c r="AF54" s="101" t="s">
        <v>0</v>
      </c>
      <c r="AG54" s="43">
        <v>3240106</v>
      </c>
      <c r="AH54" s="43"/>
      <c r="AI54" s="43" t="s">
        <v>152</v>
      </c>
      <c r="AJ54" s="43" t="s">
        <v>271</v>
      </c>
      <c r="AK54" s="45">
        <f>AK56-AK55</f>
        <v>14795.96496987797</v>
      </c>
    </row>
    <row r="55" spans="1:37" x14ac:dyDescent="0.25">
      <c r="A55" s="28">
        <v>41</v>
      </c>
      <c r="B55" s="33">
        <v>45261</v>
      </c>
      <c r="C55" s="31">
        <f t="shared" si="0"/>
        <v>4166.666666666667</v>
      </c>
      <c r="D55" s="31">
        <f t="shared" si="4"/>
        <v>3761.2233649376667</v>
      </c>
      <c r="E55" s="31">
        <f t="shared" si="5"/>
        <v>3874.4089292376611</v>
      </c>
      <c r="F55" s="31">
        <f t="shared" si="7"/>
        <v>69739.360726277984</v>
      </c>
      <c r="G55" s="31">
        <f t="shared" si="8"/>
        <v>183.12013024242421</v>
      </c>
      <c r="H55" s="32">
        <f t="shared" si="9"/>
        <v>73431.172227212111</v>
      </c>
      <c r="I55" s="29"/>
      <c r="J55" s="28">
        <v>29</v>
      </c>
      <c r="K55" s="31">
        <f t="shared" si="10"/>
        <v>1250</v>
      </c>
      <c r="L55" s="31">
        <f t="shared" si="11"/>
        <v>1162.6873718243055</v>
      </c>
      <c r="M55" s="31">
        <f t="shared" si="6"/>
        <v>18.587025128277659</v>
      </c>
      <c r="N55" s="32">
        <f t="shared" si="12"/>
        <v>7453.3970764393416</v>
      </c>
      <c r="P55" s="115"/>
      <c r="Q55" s="116"/>
      <c r="R55" s="116" t="s">
        <v>0</v>
      </c>
      <c r="S55" s="40">
        <v>2422020</v>
      </c>
      <c r="T55" s="40"/>
      <c r="U55" s="40"/>
      <c r="V55" s="40" t="s">
        <v>161</v>
      </c>
      <c r="W55" s="70">
        <f>SUM(G50:G61)</f>
        <v>2135.9477189594327</v>
      </c>
      <c r="X55" s="28"/>
      <c r="Y55" s="87"/>
      <c r="Z55" s="42"/>
      <c r="AA55" s="42"/>
      <c r="AB55" s="42"/>
      <c r="AC55" s="42"/>
      <c r="AD55" s="91"/>
      <c r="AE55" s="28"/>
      <c r="AF55" s="101" t="s">
        <v>0</v>
      </c>
      <c r="AG55" s="43">
        <v>2422020</v>
      </c>
      <c r="AH55" s="43"/>
      <c r="AI55" s="43" t="s">
        <v>152</v>
      </c>
      <c r="AJ55" s="43" t="s">
        <v>161</v>
      </c>
      <c r="AK55" s="45">
        <f>SUM(M50:M61)</f>
        <v>204.03503012202879</v>
      </c>
    </row>
    <row r="56" spans="1:37" x14ac:dyDescent="0.25">
      <c r="A56" s="28">
        <v>42</v>
      </c>
      <c r="B56" s="33">
        <v>45292</v>
      </c>
      <c r="C56" s="31">
        <f t="shared" si="0"/>
        <v>4166.666666666667</v>
      </c>
      <c r="D56" s="31">
        <f t="shared" si="4"/>
        <v>3751.8437555487953</v>
      </c>
      <c r="E56" s="31">
        <f t="shared" si="5"/>
        <v>3874.4089292376611</v>
      </c>
      <c r="F56" s="31">
        <f t="shared" si="7"/>
        <v>65864.951797040325</v>
      </c>
      <c r="G56" s="31">
        <f t="shared" si="8"/>
        <v>173.16126390136361</v>
      </c>
      <c r="H56" s="32">
        <f t="shared" si="9"/>
        <v>69437.666824446802</v>
      </c>
      <c r="I56" s="29"/>
      <c r="J56" s="28">
        <v>30</v>
      </c>
      <c r="K56" s="31">
        <f t="shared" si="10"/>
        <v>1250</v>
      </c>
      <c r="L56" s="31">
        <f t="shared" si="11"/>
        <v>1159.787902069133</v>
      </c>
      <c r="M56" s="31">
        <f t="shared" si="6"/>
        <v>15.508492691098354</v>
      </c>
      <c r="N56" s="32">
        <f t="shared" si="12"/>
        <v>6218.9055691304402</v>
      </c>
      <c r="P56" s="115"/>
      <c r="Q56" s="116"/>
      <c r="R56" s="116" t="s">
        <v>1</v>
      </c>
      <c r="S56" s="40"/>
      <c r="T56" s="40"/>
      <c r="U56" s="40"/>
      <c r="V56" s="40" t="s">
        <v>31</v>
      </c>
      <c r="W56" s="70">
        <f>SUM(C38:C49)</f>
        <v>49999.999999999993</v>
      </c>
      <c r="X56" s="28"/>
      <c r="Y56" s="87"/>
      <c r="Z56" s="42"/>
      <c r="AA56" s="42"/>
      <c r="AB56" s="42"/>
      <c r="AC56" s="42"/>
      <c r="AD56" s="91"/>
      <c r="AE56" s="28"/>
      <c r="AF56" s="101" t="s">
        <v>1</v>
      </c>
      <c r="AG56" s="43"/>
      <c r="AH56" s="43"/>
      <c r="AI56" s="43"/>
      <c r="AJ56" s="43" t="s">
        <v>31</v>
      </c>
      <c r="AK56" s="45">
        <f>SUM(K50:K61)</f>
        <v>15000</v>
      </c>
    </row>
    <row r="57" spans="1:37" x14ac:dyDescent="0.25">
      <c r="A57" s="28">
        <v>43</v>
      </c>
      <c r="B57" s="33">
        <v>45323</v>
      </c>
      <c r="C57" s="31">
        <f t="shared" si="0"/>
        <v>4166.666666666667</v>
      </c>
      <c r="D57" s="31">
        <f t="shared" si="4"/>
        <v>3742.4875367070281</v>
      </c>
      <c r="E57" s="31">
        <f t="shared" si="5"/>
        <v>3874.4089292376611</v>
      </c>
      <c r="F57" s="31">
        <f t="shared" si="7"/>
        <v>61990.542867802666</v>
      </c>
      <c r="G57" s="31">
        <f t="shared" si="8"/>
        <v>163.17750039445033</v>
      </c>
      <c r="H57" s="32">
        <f t="shared" si="9"/>
        <v>65434.177658174587</v>
      </c>
      <c r="I57" s="29"/>
      <c r="J57" s="28">
        <v>31</v>
      </c>
      <c r="K57" s="31">
        <f t="shared" si="10"/>
        <v>1250</v>
      </c>
      <c r="L57" s="31">
        <f t="shared" si="11"/>
        <v>1156.8956629118536</v>
      </c>
      <c r="M57" s="31">
        <f t="shared" si="6"/>
        <v>12.422263922826101</v>
      </c>
      <c r="N57" s="32">
        <f t="shared" si="12"/>
        <v>4981.3278330532667</v>
      </c>
      <c r="P57" s="133" t="s">
        <v>148</v>
      </c>
      <c r="Q57" s="116"/>
      <c r="R57" s="116"/>
      <c r="S57" s="40"/>
      <c r="T57" s="40"/>
      <c r="U57" s="40"/>
      <c r="V57" s="40"/>
      <c r="W57" s="81"/>
      <c r="X57" s="28"/>
      <c r="Y57" s="87"/>
      <c r="Z57" s="42"/>
      <c r="AA57" s="42"/>
      <c r="AB57" s="42"/>
      <c r="AC57" s="42"/>
      <c r="AD57" s="91"/>
      <c r="AE57" s="28"/>
      <c r="AF57" s="101" t="s">
        <v>153</v>
      </c>
      <c r="AG57" s="43"/>
      <c r="AH57" s="43"/>
      <c r="AI57" s="43"/>
      <c r="AJ57" s="43"/>
      <c r="AK57" s="44"/>
    </row>
    <row r="58" spans="1:37" x14ac:dyDescent="0.25">
      <c r="A58" s="28">
        <v>44</v>
      </c>
      <c r="B58" s="33">
        <v>45352</v>
      </c>
      <c r="C58" s="31">
        <f t="shared" si="0"/>
        <v>4166.666666666667</v>
      </c>
      <c r="D58" s="31">
        <f t="shared" si="4"/>
        <v>3733.1546500818235</v>
      </c>
      <c r="E58" s="31">
        <f t="shared" si="5"/>
        <v>3874.4089292376611</v>
      </c>
      <c r="F58" s="31">
        <f t="shared" si="7"/>
        <v>58116.133938565006</v>
      </c>
      <c r="G58" s="31">
        <f t="shared" si="8"/>
        <v>153.16877747876981</v>
      </c>
      <c r="H58" s="32">
        <f t="shared" si="9"/>
        <v>61420.679768986694</v>
      </c>
      <c r="I58" s="29"/>
      <c r="J58" s="28">
        <v>32</v>
      </c>
      <c r="K58" s="31">
        <f t="shared" si="10"/>
        <v>1250</v>
      </c>
      <c r="L58" s="31">
        <f t="shared" si="11"/>
        <v>1154.0106363210507</v>
      </c>
      <c r="M58" s="31">
        <f t="shared" si="6"/>
        <v>9.3283195826331671</v>
      </c>
      <c r="N58" s="32">
        <f t="shared" si="12"/>
        <v>3740.6561526358996</v>
      </c>
      <c r="P58" s="115"/>
      <c r="Q58" s="116"/>
      <c r="R58" s="116"/>
      <c r="S58" s="40"/>
      <c r="T58" s="40"/>
      <c r="U58" s="40"/>
      <c r="V58" s="40"/>
      <c r="W58" s="81"/>
      <c r="X58" s="28"/>
      <c r="Y58" s="87"/>
      <c r="Z58" s="42"/>
      <c r="AA58" s="42"/>
      <c r="AB58" s="42"/>
      <c r="AC58" s="42"/>
      <c r="AD58" s="91"/>
      <c r="AE58" s="28"/>
      <c r="AF58" s="101"/>
      <c r="AG58" s="43"/>
      <c r="AH58" s="43"/>
      <c r="AI58" s="43"/>
      <c r="AJ58" s="43"/>
      <c r="AK58" s="44"/>
    </row>
    <row r="59" spans="1:37" x14ac:dyDescent="0.25">
      <c r="A59" s="28">
        <v>45</v>
      </c>
      <c r="B59" s="33">
        <v>45383</v>
      </c>
      <c r="C59" s="31">
        <f t="shared" si="0"/>
        <v>4166.666666666667</v>
      </c>
      <c r="D59" s="31">
        <f t="shared" si="4"/>
        <v>3723.8450374881027</v>
      </c>
      <c r="E59" s="31">
        <f t="shared" si="5"/>
        <v>3874.4089292376611</v>
      </c>
      <c r="F59" s="31">
        <f t="shared" si="7"/>
        <v>54241.725009327347</v>
      </c>
      <c r="G59" s="31">
        <f t="shared" si="8"/>
        <v>143.13503275580007</v>
      </c>
      <c r="H59" s="32">
        <f t="shared" si="9"/>
        <v>57397.148135075833</v>
      </c>
      <c r="I59" s="29"/>
      <c r="J59" s="28">
        <v>33</v>
      </c>
      <c r="K59" s="31">
        <f t="shared" si="10"/>
        <v>1250</v>
      </c>
      <c r="L59" s="31">
        <f t="shared" si="11"/>
        <v>1151.1328043102751</v>
      </c>
      <c r="M59" s="31">
        <f t="shared" si="6"/>
        <v>6.2266403815897489</v>
      </c>
      <c r="N59" s="32">
        <f t="shared" si="12"/>
        <v>2496.8827930174893</v>
      </c>
      <c r="P59" s="115"/>
      <c r="Q59" s="116"/>
      <c r="R59" s="116"/>
      <c r="S59" s="40"/>
      <c r="T59" s="40"/>
      <c r="U59" s="40"/>
      <c r="V59" s="40"/>
      <c r="W59" s="81"/>
      <c r="X59" s="28"/>
      <c r="Y59" s="87"/>
      <c r="Z59" s="42"/>
      <c r="AA59" s="42"/>
      <c r="AB59" s="42"/>
      <c r="AC59" s="42"/>
      <c r="AD59" s="91"/>
      <c r="AE59" s="28"/>
      <c r="AF59" s="101"/>
      <c r="AG59" s="43"/>
      <c r="AH59" s="43"/>
      <c r="AI59" s="43"/>
      <c r="AJ59" s="43"/>
      <c r="AK59" s="44"/>
    </row>
    <row r="60" spans="1:37" x14ac:dyDescent="0.25">
      <c r="A60" s="28">
        <v>46</v>
      </c>
      <c r="B60" s="33">
        <v>45413</v>
      </c>
      <c r="C60" s="31">
        <f t="shared" si="0"/>
        <v>4166.666666666667</v>
      </c>
      <c r="D60" s="31">
        <f t="shared" si="4"/>
        <v>3714.5586408858894</v>
      </c>
      <c r="E60" s="31">
        <f t="shared" si="5"/>
        <v>3874.4089292376611</v>
      </c>
      <c r="F60" s="31">
        <f t="shared" si="7"/>
        <v>50367.316080089688</v>
      </c>
      <c r="G60" s="31">
        <f t="shared" si="8"/>
        <v>133.07620367102294</v>
      </c>
      <c r="H60" s="32">
        <f t="shared" si="9"/>
        <v>53363.557672080191</v>
      </c>
      <c r="I60" s="29"/>
      <c r="J60" s="28">
        <v>34</v>
      </c>
      <c r="K60" s="31">
        <f t="shared" si="10"/>
        <v>1250</v>
      </c>
      <c r="L60" s="31">
        <f t="shared" si="11"/>
        <v>1148.2621489379303</v>
      </c>
      <c r="M60" s="31">
        <f t="shared" si="6"/>
        <v>3.1172069825437236</v>
      </c>
      <c r="N60" s="32">
        <f t="shared" si="12"/>
        <v>1250.000000000033</v>
      </c>
      <c r="P60" s="115"/>
      <c r="Q60" s="116"/>
      <c r="R60" s="116"/>
      <c r="S60" s="40"/>
      <c r="T60" s="40"/>
      <c r="U60" s="40"/>
      <c r="V60" s="40"/>
      <c r="W60" s="81"/>
      <c r="X60" s="28"/>
      <c r="Y60" s="87"/>
      <c r="Z60" s="42"/>
      <c r="AA60" s="42"/>
      <c r="AB60" s="42"/>
      <c r="AC60" s="42"/>
      <c r="AD60" s="91"/>
      <c r="AE60" s="28"/>
      <c r="AF60" s="101"/>
      <c r="AG60" s="43"/>
      <c r="AH60" s="43"/>
      <c r="AI60" s="43"/>
      <c r="AJ60" s="43"/>
      <c r="AK60" s="44"/>
    </row>
    <row r="61" spans="1:37" ht="15.75" thickBot="1" x14ac:dyDescent="0.3">
      <c r="A61" s="28">
        <v>47</v>
      </c>
      <c r="B61" s="33">
        <v>45444</v>
      </c>
      <c r="C61" s="31">
        <f t="shared" si="0"/>
        <v>4166.666666666667</v>
      </c>
      <c r="D61" s="31">
        <f t="shared" si="4"/>
        <v>3705.2954023799398</v>
      </c>
      <c r="E61" s="31">
        <f t="shared" si="5"/>
        <v>3874.4089292376611</v>
      </c>
      <c r="F61" s="31">
        <f t="shared" si="7"/>
        <v>46492.907150852028</v>
      </c>
      <c r="G61" s="31">
        <f t="shared" si="8"/>
        <v>122.99222751353382</v>
      </c>
      <c r="H61" s="32">
        <f t="shared" si="9"/>
        <v>49319.883232927059</v>
      </c>
      <c r="I61" s="29"/>
      <c r="J61" s="28">
        <v>35</v>
      </c>
      <c r="K61" s="31">
        <f t="shared" si="10"/>
        <v>1250</v>
      </c>
      <c r="L61" s="31">
        <f>+K61/(1+F$1)^J61</f>
        <v>1145.3986523071626</v>
      </c>
      <c r="M61" s="31">
        <f t="shared" si="6"/>
        <v>8.2422957348171619E-14</v>
      </c>
      <c r="N61" s="32">
        <f t="shared" si="12"/>
        <v>3.3051605896616823E-11</v>
      </c>
      <c r="P61" s="136"/>
      <c r="Q61" s="137"/>
      <c r="R61" s="137"/>
      <c r="S61" s="47"/>
      <c r="T61" s="47"/>
      <c r="U61" s="47"/>
      <c r="V61" s="47"/>
      <c r="W61" s="82"/>
      <c r="X61" s="28"/>
      <c r="Y61" s="87"/>
      <c r="Z61" s="42"/>
      <c r="AA61" s="42"/>
      <c r="AB61" s="42"/>
      <c r="AC61" s="42"/>
      <c r="AD61" s="91"/>
      <c r="AE61" s="28"/>
      <c r="AF61" s="101"/>
      <c r="AG61" s="43"/>
      <c r="AH61" s="43"/>
      <c r="AI61" s="43"/>
      <c r="AJ61" s="43"/>
      <c r="AK61" s="44"/>
    </row>
    <row r="62" spans="1:37" x14ac:dyDescent="0.25">
      <c r="A62" s="28">
        <v>48</v>
      </c>
      <c r="B62" s="33">
        <v>45474</v>
      </c>
      <c r="C62" s="31">
        <f t="shared" si="0"/>
        <v>4166.666666666667</v>
      </c>
      <c r="D62" s="31">
        <f t="shared" si="4"/>
        <v>3696.0552642193902</v>
      </c>
      <c r="E62" s="31">
        <f t="shared" si="5"/>
        <v>3874.4089292376611</v>
      </c>
      <c r="F62" s="31">
        <f t="shared" si="7"/>
        <v>42618.498221614369</v>
      </c>
      <c r="G62" s="31">
        <f t="shared" si="8"/>
        <v>112.88304141565099</v>
      </c>
      <c r="H62" s="32">
        <f t="shared" si="9"/>
        <v>45266.099607676049</v>
      </c>
      <c r="I62" s="29"/>
      <c r="J62" s="28"/>
      <c r="K62" s="30">
        <f>SUM(K26:K61)</f>
        <v>45000</v>
      </c>
      <c r="L62" s="30">
        <f>SUM(L26:L61)</f>
        <v>43090.539077135763</v>
      </c>
      <c r="M62" s="30">
        <f t="shared" ref="M62" si="13">SUM(M26:M61)</f>
        <v>1909.4609228642753</v>
      </c>
      <c r="N62" s="34"/>
      <c r="P62" s="124" t="s">
        <v>122</v>
      </c>
      <c r="Q62" s="125" t="s">
        <v>141</v>
      </c>
      <c r="R62" s="125" t="s">
        <v>0</v>
      </c>
      <c r="S62" s="51">
        <v>2241002</v>
      </c>
      <c r="T62" s="51"/>
      <c r="U62" s="51"/>
      <c r="V62" s="51" t="s">
        <v>251</v>
      </c>
      <c r="W62" s="69">
        <f>SUM(E62:E73)</f>
        <v>46492.907150851919</v>
      </c>
      <c r="X62" s="28"/>
      <c r="Y62" s="89"/>
      <c r="Z62" s="54"/>
      <c r="AA62" s="54"/>
      <c r="AB62" s="54"/>
      <c r="AC62" s="54"/>
      <c r="AD62" s="90"/>
      <c r="AE62" s="28"/>
      <c r="AF62" s="100"/>
      <c r="AG62" s="55"/>
      <c r="AH62" s="55"/>
      <c r="AI62" s="55"/>
      <c r="AJ62" s="55"/>
      <c r="AK62" s="56"/>
    </row>
    <row r="63" spans="1:37" x14ac:dyDescent="0.25">
      <c r="A63" s="28">
        <v>49</v>
      </c>
      <c r="B63" s="33">
        <v>45505</v>
      </c>
      <c r="C63" s="31">
        <f t="shared" si="0"/>
        <v>4166.666666666667</v>
      </c>
      <c r="D63" s="31">
        <f t="shared" si="4"/>
        <v>3686.8381687973979</v>
      </c>
      <c r="E63" s="31">
        <f t="shared" si="5"/>
        <v>3874.4089292376611</v>
      </c>
      <c r="F63" s="31">
        <f t="shared" si="7"/>
        <v>38744.08929237671</v>
      </c>
      <c r="G63" s="31">
        <f t="shared" si="8"/>
        <v>102.74858235252347</v>
      </c>
      <c r="H63" s="32">
        <f t="shared" si="9"/>
        <v>41202.181523361905</v>
      </c>
      <c r="I63" s="29"/>
      <c r="J63" s="28"/>
      <c r="K63" s="31"/>
      <c r="L63" s="31"/>
      <c r="M63" s="31"/>
      <c r="N63" s="32"/>
      <c r="P63" s="115"/>
      <c r="Q63" s="116"/>
      <c r="R63" s="116" t="s">
        <v>1</v>
      </c>
      <c r="S63" s="40">
        <v>5311002</v>
      </c>
      <c r="T63" s="40">
        <v>7353</v>
      </c>
      <c r="U63" s="40"/>
      <c r="V63" s="40" t="s">
        <v>105</v>
      </c>
      <c r="W63" s="70">
        <f>W62</f>
        <v>46492.907150851919</v>
      </c>
      <c r="X63" s="28"/>
      <c r="Y63" s="87"/>
      <c r="Z63" s="42"/>
      <c r="AA63" s="42"/>
      <c r="AB63" s="42"/>
      <c r="AC63" s="42"/>
      <c r="AD63" s="91"/>
      <c r="AE63" s="28"/>
      <c r="AF63" s="101"/>
      <c r="AG63" s="43"/>
      <c r="AH63" s="43"/>
      <c r="AI63" s="43"/>
      <c r="AJ63" s="43"/>
      <c r="AK63" s="44"/>
    </row>
    <row r="64" spans="1:37" x14ac:dyDescent="0.25">
      <c r="A64" s="28">
        <v>50</v>
      </c>
      <c r="B64" s="33">
        <v>45536</v>
      </c>
      <c r="C64" s="31">
        <f t="shared" si="0"/>
        <v>4166.666666666667</v>
      </c>
      <c r="D64" s="31">
        <f t="shared" si="4"/>
        <v>3677.6440586507701</v>
      </c>
      <c r="E64" s="31">
        <f t="shared" si="5"/>
        <v>3874.4089292376611</v>
      </c>
      <c r="F64" s="31">
        <f t="shared" si="7"/>
        <v>34869.68036313905</v>
      </c>
      <c r="G64" s="31">
        <f t="shared" si="8"/>
        <v>92.588787141738109</v>
      </c>
      <c r="H64" s="32">
        <f t="shared" si="9"/>
        <v>37128.103643836977</v>
      </c>
      <c r="I64" s="29"/>
      <c r="J64" s="28"/>
      <c r="K64" s="31"/>
      <c r="L64" s="31"/>
      <c r="M64" s="31"/>
      <c r="N64" s="32"/>
      <c r="P64" s="133" t="s">
        <v>189</v>
      </c>
      <c r="Q64" s="116"/>
      <c r="R64" s="116"/>
      <c r="S64" s="40"/>
      <c r="T64" s="40"/>
      <c r="U64" s="40"/>
      <c r="V64" s="40"/>
      <c r="W64" s="81"/>
      <c r="X64" s="28"/>
      <c r="Y64" s="87"/>
      <c r="Z64" s="42"/>
      <c r="AA64" s="42"/>
      <c r="AB64" s="42"/>
      <c r="AC64" s="42"/>
      <c r="AD64" s="91"/>
      <c r="AE64" s="28"/>
      <c r="AF64" s="101"/>
      <c r="AG64" s="43"/>
      <c r="AH64" s="43"/>
      <c r="AI64" s="43"/>
      <c r="AJ64" s="43"/>
      <c r="AK64" s="44"/>
    </row>
    <row r="65" spans="1:37" x14ac:dyDescent="0.25">
      <c r="A65" s="28">
        <v>51</v>
      </c>
      <c r="B65" s="33">
        <v>45566</v>
      </c>
      <c r="C65" s="31">
        <f t="shared" si="0"/>
        <v>4166.666666666667</v>
      </c>
      <c r="D65" s="31">
        <f t="shared" si="4"/>
        <v>3668.4728764596216</v>
      </c>
      <c r="E65" s="31">
        <f t="shared" si="5"/>
        <v>3874.4089292376611</v>
      </c>
      <c r="F65" s="31">
        <f t="shared" si="7"/>
        <v>30995.271433901391</v>
      </c>
      <c r="G65" s="31">
        <f t="shared" si="8"/>
        <v>82.403592442925785</v>
      </c>
      <c r="H65" s="32">
        <f t="shared" si="9"/>
        <v>33043.840569613239</v>
      </c>
      <c r="I65" s="29"/>
      <c r="J65" s="28"/>
      <c r="K65" s="31"/>
      <c r="L65" s="31"/>
      <c r="M65" s="31"/>
      <c r="N65" s="32"/>
      <c r="P65" s="115"/>
      <c r="Q65" s="116"/>
      <c r="R65" s="116"/>
      <c r="S65" s="40"/>
      <c r="T65" s="40"/>
      <c r="U65" s="40"/>
      <c r="V65" s="40"/>
      <c r="W65" s="81"/>
      <c r="X65" s="28"/>
      <c r="Y65" s="87"/>
      <c r="Z65" s="42"/>
      <c r="AA65" s="42"/>
      <c r="AB65" s="42"/>
      <c r="AC65" s="42"/>
      <c r="AD65" s="91"/>
      <c r="AE65" s="28"/>
      <c r="AF65" s="101"/>
      <c r="AG65" s="43"/>
      <c r="AH65" s="43"/>
      <c r="AI65" s="43"/>
      <c r="AJ65" s="43"/>
      <c r="AK65" s="44"/>
    </row>
    <row r="66" spans="1:37" x14ac:dyDescent="0.25">
      <c r="A66" s="28">
        <v>52</v>
      </c>
      <c r="B66" s="33">
        <v>45597</v>
      </c>
      <c r="C66" s="31">
        <f t="shared" si="0"/>
        <v>4166.666666666667</v>
      </c>
      <c r="D66" s="31">
        <f t="shared" si="4"/>
        <v>3659.3245650470039</v>
      </c>
      <c r="E66" s="31">
        <f t="shared" si="5"/>
        <v>3874.4089292376611</v>
      </c>
      <c r="F66" s="31">
        <f t="shared" ref="F66:F73" si="14">+F65-E66</f>
        <v>27120.862504663732</v>
      </c>
      <c r="G66" s="31">
        <f t="shared" si="8"/>
        <v>72.19293475736643</v>
      </c>
      <c r="H66" s="32">
        <f t="shared" ref="H66:H72" si="15">+H65-C66+G66</f>
        <v>28949.366837703939</v>
      </c>
      <c r="I66" s="29"/>
      <c r="J66" s="28"/>
      <c r="K66" s="31"/>
      <c r="L66" s="31"/>
      <c r="M66" s="31"/>
      <c r="N66" s="32"/>
      <c r="P66" s="115" t="s">
        <v>200</v>
      </c>
      <c r="Q66" s="116" t="s">
        <v>141</v>
      </c>
      <c r="R66" s="116" t="s">
        <v>0</v>
      </c>
      <c r="S66" s="40">
        <v>3240106</v>
      </c>
      <c r="T66" s="40"/>
      <c r="U66" s="40"/>
      <c r="V66" s="40" t="s">
        <v>271</v>
      </c>
      <c r="W66" s="70">
        <f>W68-W67</f>
        <v>49319.88323292655</v>
      </c>
      <c r="X66" s="28"/>
      <c r="Y66" s="87"/>
      <c r="Z66" s="42"/>
      <c r="AA66" s="42"/>
      <c r="AB66" s="42"/>
      <c r="AC66" s="42"/>
      <c r="AD66" s="91"/>
      <c r="AE66" s="28"/>
      <c r="AF66" s="101"/>
      <c r="AG66" s="43"/>
      <c r="AH66" s="43"/>
      <c r="AI66" s="43"/>
      <c r="AJ66" s="43"/>
      <c r="AK66" s="44"/>
    </row>
    <row r="67" spans="1:37" x14ac:dyDescent="0.25">
      <c r="A67" s="28">
        <v>53</v>
      </c>
      <c r="B67" s="33">
        <v>45627</v>
      </c>
      <c r="C67" s="31">
        <f t="shared" ref="C67:C73" si="16">50000/12</f>
        <v>4166.666666666667</v>
      </c>
      <c r="D67" s="31">
        <f t="shared" si="4"/>
        <v>3650.1990673785581</v>
      </c>
      <c r="E67" s="31">
        <f t="shared" si="5"/>
        <v>3874.4089292376611</v>
      </c>
      <c r="F67" s="31">
        <f t="shared" si="14"/>
        <v>23246.453575426072</v>
      </c>
      <c r="G67" s="31">
        <f t="shared" si="8"/>
        <v>61.956750427593178</v>
      </c>
      <c r="H67" s="32">
        <f t="shared" si="15"/>
        <v>24844.656921464866</v>
      </c>
      <c r="I67" s="29"/>
      <c r="J67" s="28"/>
      <c r="K67" s="31"/>
      <c r="L67" s="31"/>
      <c r="M67" s="31"/>
      <c r="N67" s="32"/>
      <c r="P67" s="115"/>
      <c r="Q67" s="116"/>
      <c r="R67" s="116" t="s">
        <v>0</v>
      </c>
      <c r="S67" s="40">
        <v>2422020</v>
      </c>
      <c r="T67" s="40"/>
      <c r="U67" s="40"/>
      <c r="V67" s="40" t="s">
        <v>161</v>
      </c>
      <c r="W67" s="70">
        <f>SUM(G62:G73)</f>
        <v>680.11676707344122</v>
      </c>
      <c r="X67" s="28"/>
      <c r="Y67" s="87"/>
      <c r="Z67" s="42"/>
      <c r="AA67" s="42"/>
      <c r="AB67" s="42"/>
      <c r="AC67" s="42"/>
      <c r="AD67" s="91"/>
      <c r="AE67" s="28"/>
      <c r="AF67" s="101"/>
      <c r="AG67" s="43"/>
      <c r="AH67" s="43"/>
      <c r="AI67" s="43"/>
      <c r="AJ67" s="43"/>
      <c r="AK67" s="44"/>
    </row>
    <row r="68" spans="1:37" x14ac:dyDescent="0.25">
      <c r="A68" s="28">
        <v>54</v>
      </c>
      <c r="B68" s="33">
        <v>45658</v>
      </c>
      <c r="C68" s="31">
        <f t="shared" si="16"/>
        <v>4166.666666666667</v>
      </c>
      <c r="D68" s="31">
        <f t="shared" si="4"/>
        <v>3641.0963265621531</v>
      </c>
      <c r="E68" s="31">
        <f t="shared" si="5"/>
        <v>3874.4089292376611</v>
      </c>
      <c r="F68" s="31">
        <f t="shared" si="14"/>
        <v>19372.044646188413</v>
      </c>
      <c r="G68" s="31">
        <f t="shared" si="8"/>
        <v>51.694975636995494</v>
      </c>
      <c r="H68" s="32">
        <f t="shared" si="15"/>
        <v>20729.685230435192</v>
      </c>
      <c r="I68" s="29"/>
      <c r="J68" s="28"/>
      <c r="K68" s="31"/>
      <c r="L68" s="31"/>
      <c r="M68" s="31"/>
      <c r="N68" s="32"/>
      <c r="P68" s="115"/>
      <c r="Q68" s="116"/>
      <c r="R68" s="116" t="s">
        <v>1</v>
      </c>
      <c r="S68" s="40"/>
      <c r="T68" s="40"/>
      <c r="U68" s="40"/>
      <c r="V68" s="40" t="s">
        <v>31</v>
      </c>
      <c r="W68" s="70">
        <f>SUM(C50:C61)</f>
        <v>49999.999999999993</v>
      </c>
      <c r="X68" s="28"/>
      <c r="Y68" s="87"/>
      <c r="Z68" s="42"/>
      <c r="AA68" s="42"/>
      <c r="AB68" s="42"/>
      <c r="AC68" s="42"/>
      <c r="AD68" s="91"/>
      <c r="AE68" s="28"/>
      <c r="AF68" s="101"/>
      <c r="AG68" s="43"/>
      <c r="AH68" s="43"/>
      <c r="AI68" s="43"/>
      <c r="AJ68" s="43"/>
      <c r="AK68" s="44"/>
    </row>
    <row r="69" spans="1:37" x14ac:dyDescent="0.25">
      <c r="A69" s="28">
        <v>55</v>
      </c>
      <c r="B69" s="33">
        <v>45689</v>
      </c>
      <c r="C69" s="31">
        <f t="shared" si="16"/>
        <v>4166.666666666667</v>
      </c>
      <c r="D69" s="31">
        <f t="shared" si="4"/>
        <v>3632.0162858475346</v>
      </c>
      <c r="E69" s="31">
        <f t="shared" si="5"/>
        <v>3874.4089292376611</v>
      </c>
      <c r="F69" s="31">
        <f t="shared" si="14"/>
        <v>15497.635716950752</v>
      </c>
      <c r="G69" s="31">
        <f t="shared" si="8"/>
        <v>41.407546409421315</v>
      </c>
      <c r="H69" s="32">
        <f t="shared" si="15"/>
        <v>16604.426110177945</v>
      </c>
      <c r="I69" s="29"/>
      <c r="J69" s="28"/>
      <c r="K69" s="31"/>
      <c r="L69" s="31"/>
      <c r="M69" s="31"/>
      <c r="N69" s="32"/>
      <c r="P69" s="133" t="s">
        <v>150</v>
      </c>
      <c r="Q69" s="116"/>
      <c r="R69" s="116"/>
      <c r="S69" s="40"/>
      <c r="T69" s="40"/>
      <c r="U69" s="40"/>
      <c r="V69" s="40"/>
      <c r="W69" s="81"/>
      <c r="X69" s="28"/>
      <c r="Y69" s="87"/>
      <c r="Z69" s="42"/>
      <c r="AA69" s="42"/>
      <c r="AB69" s="42"/>
      <c r="AC69" s="42"/>
      <c r="AD69" s="91"/>
      <c r="AE69" s="28"/>
      <c r="AF69" s="101"/>
      <c r="AG69" s="43"/>
      <c r="AH69" s="43"/>
      <c r="AI69" s="43"/>
      <c r="AJ69" s="43"/>
      <c r="AK69" s="44"/>
    </row>
    <row r="70" spans="1:37" x14ac:dyDescent="0.25">
      <c r="A70" s="28">
        <v>56</v>
      </c>
      <c r="B70" s="33">
        <v>45717</v>
      </c>
      <c r="C70" s="31">
        <f t="shared" si="16"/>
        <v>4166.666666666667</v>
      </c>
      <c r="D70" s="31">
        <f t="shared" si="4"/>
        <v>3622.9588886259698</v>
      </c>
      <c r="E70" s="31">
        <f t="shared" si="5"/>
        <v>3874.4089292376611</v>
      </c>
      <c r="F70" s="31">
        <f t="shared" si="14"/>
        <v>11623.226787713091</v>
      </c>
      <c r="G70" s="31">
        <f t="shared" si="8"/>
        <v>31.094398608778192</v>
      </c>
      <c r="H70" s="32">
        <f t="shared" si="15"/>
        <v>12468.853842120056</v>
      </c>
      <c r="I70" s="29"/>
      <c r="J70" s="28"/>
      <c r="K70" s="31"/>
      <c r="L70" s="31"/>
      <c r="M70" s="31"/>
      <c r="N70" s="32"/>
      <c r="P70" s="115"/>
      <c r="Q70" s="116"/>
      <c r="R70" s="116"/>
      <c r="S70" s="40"/>
      <c r="T70" s="40"/>
      <c r="U70" s="40"/>
      <c r="V70" s="40"/>
      <c r="W70" s="81"/>
      <c r="X70" s="28"/>
      <c r="Y70" s="87"/>
      <c r="Z70" s="42"/>
      <c r="AA70" s="42"/>
      <c r="AB70" s="42"/>
      <c r="AC70" s="42"/>
      <c r="AD70" s="91"/>
      <c r="AE70" s="28"/>
      <c r="AF70" s="101"/>
      <c r="AG70" s="43"/>
      <c r="AH70" s="43"/>
      <c r="AI70" s="43"/>
      <c r="AJ70" s="43"/>
      <c r="AK70" s="44"/>
    </row>
    <row r="71" spans="1:37" x14ac:dyDescent="0.25">
      <c r="A71" s="28">
        <v>57</v>
      </c>
      <c r="B71" s="33">
        <v>45748</v>
      </c>
      <c r="C71" s="31">
        <f t="shared" si="16"/>
        <v>4166.666666666667</v>
      </c>
      <c r="D71" s="31">
        <f t="shared" si="4"/>
        <v>3613.924078429895</v>
      </c>
      <c r="E71" s="31">
        <f t="shared" si="5"/>
        <v>3874.4089292376611</v>
      </c>
      <c r="F71" s="31">
        <f t="shared" si="14"/>
        <v>7748.8178584754296</v>
      </c>
      <c r="G71" s="31">
        <f t="shared" si="8"/>
        <v>20.755467938633473</v>
      </c>
      <c r="H71" s="32">
        <f t="shared" si="15"/>
        <v>8322.9426433920235</v>
      </c>
      <c r="I71" s="29"/>
      <c r="J71" s="28"/>
      <c r="K71" s="31"/>
      <c r="L71" s="31"/>
      <c r="M71" s="31"/>
      <c r="N71" s="32"/>
      <c r="P71" s="115"/>
      <c r="Q71" s="116"/>
      <c r="R71" s="116"/>
      <c r="S71" s="40"/>
      <c r="T71" s="40"/>
      <c r="U71" s="40"/>
      <c r="V71" s="40"/>
      <c r="W71" s="81"/>
      <c r="X71" s="28"/>
      <c r="Y71" s="87"/>
      <c r="Z71" s="42"/>
      <c r="AA71" s="42"/>
      <c r="AB71" s="42"/>
      <c r="AC71" s="42"/>
      <c r="AD71" s="91"/>
      <c r="AE71" s="28"/>
      <c r="AF71" s="101"/>
      <c r="AG71" s="43"/>
      <c r="AH71" s="43"/>
      <c r="AI71" s="43"/>
      <c r="AJ71" s="43"/>
      <c r="AK71" s="44"/>
    </row>
    <row r="72" spans="1:37" x14ac:dyDescent="0.25">
      <c r="A72" s="28">
        <v>58</v>
      </c>
      <c r="B72" s="33">
        <v>45778</v>
      </c>
      <c r="C72" s="31">
        <f t="shared" si="16"/>
        <v>4166.666666666667</v>
      </c>
      <c r="D72" s="31">
        <f>+C72/(1+F$1)^A72</f>
        <v>3604.9117989325637</v>
      </c>
      <c r="E72" s="31">
        <f t="shared" si="5"/>
        <v>3874.4089292376611</v>
      </c>
      <c r="F72" s="31">
        <f t="shared" si="14"/>
        <v>3874.4089292377685</v>
      </c>
      <c r="G72" s="31">
        <f t="shared" si="8"/>
        <v>10.390689941813392</v>
      </c>
      <c r="H72" s="32">
        <f t="shared" si="15"/>
        <v>4166.6666666671699</v>
      </c>
      <c r="I72" s="29"/>
      <c r="J72" s="28"/>
      <c r="K72" s="31"/>
      <c r="L72" s="31"/>
      <c r="M72" s="31"/>
      <c r="N72" s="32"/>
      <c r="P72" s="115"/>
      <c r="Q72" s="116"/>
      <c r="R72" s="116"/>
      <c r="S72" s="40"/>
      <c r="T72" s="40"/>
      <c r="U72" s="40"/>
      <c r="V72" s="40"/>
      <c r="W72" s="81"/>
      <c r="X72" s="28"/>
      <c r="Y72" s="87"/>
      <c r="Z72" s="42"/>
      <c r="AA72" s="42"/>
      <c r="AB72" s="42"/>
      <c r="AC72" s="42"/>
      <c r="AD72" s="91"/>
      <c r="AE72" s="28"/>
      <c r="AF72" s="101"/>
      <c r="AG72" s="43"/>
      <c r="AH72" s="43"/>
      <c r="AI72" s="43"/>
      <c r="AJ72" s="43"/>
      <c r="AK72" s="44"/>
    </row>
    <row r="73" spans="1:37" x14ac:dyDescent="0.25">
      <c r="A73" s="28">
        <v>59</v>
      </c>
      <c r="B73" s="33">
        <v>45809</v>
      </c>
      <c r="C73" s="31">
        <f t="shared" si="16"/>
        <v>4166.666666666667</v>
      </c>
      <c r="D73" s="31">
        <f t="shared" si="4"/>
        <v>3595.9219939476943</v>
      </c>
      <c r="E73" s="31">
        <f t="shared" si="5"/>
        <v>3874.4089292376611</v>
      </c>
      <c r="F73" s="31">
        <f t="shared" si="14"/>
        <v>1.0732037480920553E-10</v>
      </c>
      <c r="G73" s="31">
        <f t="shared" si="8"/>
        <v>1.2573764252010733E-12</v>
      </c>
      <c r="H73" s="32">
        <f>+H72-C73+G73</f>
        <v>5.0420794650563043E-10</v>
      </c>
      <c r="I73" s="29"/>
      <c r="J73" s="28"/>
      <c r="K73" s="31"/>
      <c r="L73" s="31"/>
      <c r="M73" s="31"/>
      <c r="N73" s="32"/>
      <c r="P73" s="115"/>
      <c r="Q73" s="116"/>
      <c r="R73" s="116"/>
      <c r="S73" s="40"/>
      <c r="T73" s="40"/>
      <c r="U73" s="40"/>
      <c r="V73" s="40"/>
      <c r="W73" s="81"/>
      <c r="X73" s="28"/>
      <c r="Y73" s="87"/>
      <c r="Z73" s="42"/>
      <c r="AA73" s="42"/>
      <c r="AB73" s="42"/>
      <c r="AC73" s="42"/>
      <c r="AD73" s="91"/>
      <c r="AE73" s="28"/>
      <c r="AF73" s="101"/>
      <c r="AG73" s="43"/>
      <c r="AH73" s="43"/>
      <c r="AI73" s="43"/>
      <c r="AJ73" s="43"/>
      <c r="AK73" s="44"/>
    </row>
    <row r="74" spans="1:37" ht="15.75" thickBot="1" x14ac:dyDescent="0.3">
      <c r="A74" s="35"/>
      <c r="B74" s="36"/>
      <c r="C74" s="37">
        <f>SUM(C13:C73)</f>
        <v>249999.9999999998</v>
      </c>
      <c r="D74" s="37">
        <f>SUM(D13:D73)</f>
        <v>232464.53575425968</v>
      </c>
      <c r="E74" s="37">
        <f>SUM(E13:E73)</f>
        <v>232464.53575425959</v>
      </c>
      <c r="F74" s="36"/>
      <c r="G74" s="37">
        <f>SUM(G13:G73)</f>
        <v>17535.464245740633</v>
      </c>
      <c r="H74" s="38"/>
      <c r="J74" s="35"/>
      <c r="K74" s="36"/>
      <c r="L74" s="36"/>
      <c r="M74" s="36"/>
      <c r="N74" s="38"/>
      <c r="P74" s="136"/>
      <c r="Q74" s="137"/>
      <c r="R74" s="137"/>
      <c r="S74" s="47"/>
      <c r="T74" s="47"/>
      <c r="U74" s="47"/>
      <c r="V74" s="47"/>
      <c r="W74" s="73"/>
      <c r="X74" s="28"/>
      <c r="Y74" s="92"/>
      <c r="Z74" s="48"/>
      <c r="AA74" s="48"/>
      <c r="AB74" s="48"/>
      <c r="AC74" s="48"/>
      <c r="AD74" s="93"/>
      <c r="AE74" s="28"/>
      <c r="AF74" s="102"/>
      <c r="AG74" s="49"/>
      <c r="AH74" s="49"/>
      <c r="AI74" s="49"/>
      <c r="AJ74" s="49"/>
      <c r="AK74" s="50"/>
    </row>
    <row r="75" spans="1:37" x14ac:dyDescent="0.25">
      <c r="A75" s="29"/>
      <c r="B75" s="29"/>
      <c r="C75" s="30"/>
      <c r="D75" s="30"/>
      <c r="E75" s="30"/>
      <c r="F75" s="29"/>
      <c r="G75" s="30"/>
      <c r="H75" s="29"/>
      <c r="J75" s="29"/>
      <c r="K75" s="29"/>
      <c r="L75" s="29"/>
      <c r="M75" s="29"/>
      <c r="N75" s="29"/>
      <c r="P75" s="187"/>
      <c r="Q75" s="187"/>
      <c r="R75" s="187"/>
      <c r="S75" s="184"/>
      <c r="T75" s="184"/>
      <c r="U75" s="184"/>
      <c r="V75" s="184"/>
      <c r="W75" s="75"/>
      <c r="X75" s="184"/>
      <c r="Y75" s="184"/>
      <c r="Z75" s="184"/>
      <c r="AA75" s="184"/>
      <c r="AB75" s="184"/>
      <c r="AC75" s="184"/>
      <c r="AD75" s="184"/>
      <c r="AE75" s="184"/>
      <c r="AF75" s="184"/>
      <c r="AG75" s="184"/>
      <c r="AH75" s="184"/>
      <c r="AI75" s="184"/>
      <c r="AJ75" s="184"/>
      <c r="AK75" s="184"/>
    </row>
    <row r="76" spans="1:37" x14ac:dyDescent="0.25">
      <c r="A76" s="29"/>
      <c r="B76" s="29"/>
      <c r="C76" s="30"/>
      <c r="D76" s="30"/>
      <c r="E76" s="30"/>
      <c r="F76" s="29"/>
      <c r="G76" s="30"/>
      <c r="H76" s="29"/>
      <c r="J76" s="29"/>
      <c r="K76" s="29"/>
      <c r="L76" s="29"/>
      <c r="M76" s="29"/>
      <c r="N76" s="29"/>
      <c r="P76" s="187"/>
      <c r="Q76" s="187"/>
      <c r="R76" s="187"/>
      <c r="S76" s="184"/>
      <c r="T76" s="184"/>
      <c r="U76" s="184"/>
      <c r="V76" s="184"/>
      <c r="W76" s="75"/>
      <c r="X76" s="184"/>
      <c r="Y76" s="184"/>
      <c r="Z76" s="184"/>
      <c r="AA76" s="184"/>
      <c r="AB76" s="184"/>
      <c r="AC76" s="184"/>
      <c r="AD76" s="184"/>
      <c r="AE76" s="184"/>
      <c r="AF76" s="184"/>
      <c r="AG76" s="184"/>
      <c r="AH76" s="184"/>
      <c r="AI76" s="184"/>
      <c r="AJ76" s="184"/>
      <c r="AK76" s="184"/>
    </row>
    <row r="77" spans="1:37" ht="15.75" thickBot="1" x14ac:dyDescent="0.3">
      <c r="A77" s="29"/>
      <c r="B77" s="29"/>
      <c r="C77" s="30"/>
      <c r="D77" s="30"/>
      <c r="E77" s="30"/>
      <c r="F77" s="29"/>
      <c r="G77" s="30"/>
      <c r="H77" s="29"/>
      <c r="J77" s="29"/>
      <c r="K77" s="29"/>
      <c r="L77" s="29"/>
      <c r="M77" s="29"/>
      <c r="N77" s="29"/>
      <c r="P77" s="187"/>
      <c r="Q77" s="187"/>
      <c r="R77" s="187"/>
      <c r="S77" s="184"/>
      <c r="T77" s="184"/>
      <c r="U77" s="184"/>
      <c r="V77" s="184"/>
      <c r="W77" s="75"/>
      <c r="X77" s="184"/>
      <c r="Y77" s="184"/>
      <c r="Z77" s="184"/>
      <c r="AA77" s="184"/>
      <c r="AB77" s="184"/>
      <c r="AC77" s="184"/>
      <c r="AD77" s="184"/>
      <c r="AE77" s="184"/>
      <c r="AF77" s="184"/>
      <c r="AG77" s="184"/>
      <c r="AH77" s="184"/>
      <c r="AI77" s="184"/>
      <c r="AJ77" s="184"/>
      <c r="AK77" s="184"/>
    </row>
    <row r="78" spans="1:37" x14ac:dyDescent="0.25">
      <c r="A78" s="332" t="s">
        <v>278</v>
      </c>
      <c r="B78" s="333"/>
      <c r="C78" s="333"/>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4"/>
    </row>
    <row r="79" spans="1:37" x14ac:dyDescent="0.25">
      <c r="A79" s="317" t="s">
        <v>441</v>
      </c>
      <c r="B79" s="335"/>
      <c r="C79" s="335"/>
      <c r="D79" s="33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6"/>
    </row>
    <row r="80" spans="1:37" ht="15.75" thickBot="1" x14ac:dyDescent="0.3">
      <c r="A80" s="364" t="s">
        <v>280</v>
      </c>
      <c r="B80" s="365"/>
      <c r="C80" s="365"/>
      <c r="D80" s="365"/>
      <c r="E80" s="365"/>
      <c r="F80" s="365"/>
      <c r="G80" s="365"/>
      <c r="H80" s="365"/>
      <c r="I80" s="365"/>
      <c r="J80" s="365"/>
      <c r="K80" s="365"/>
      <c r="L80" s="365"/>
      <c r="M80" s="365"/>
      <c r="N80" s="365"/>
      <c r="O80" s="365"/>
      <c r="P80" s="365"/>
      <c r="Q80" s="365"/>
      <c r="R80" s="365"/>
      <c r="S80" s="365"/>
      <c r="T80" s="365"/>
      <c r="U80" s="365"/>
      <c r="V80" s="365"/>
      <c r="W80" s="365"/>
      <c r="X80" s="365"/>
      <c r="Y80" s="365"/>
      <c r="Z80" s="365"/>
      <c r="AA80" s="365"/>
      <c r="AB80" s="365"/>
      <c r="AC80" s="365"/>
      <c r="AD80" s="365"/>
      <c r="AE80" s="365"/>
      <c r="AF80" s="365"/>
      <c r="AG80" s="365"/>
      <c r="AH80" s="365"/>
      <c r="AI80" s="365"/>
      <c r="AJ80" s="365"/>
      <c r="AK80" s="366"/>
    </row>
    <row r="81" spans="1:37" ht="15.75" thickBot="1" x14ac:dyDescent="0.3"/>
    <row r="82" spans="1:37" x14ac:dyDescent="0.25">
      <c r="A82" s="332" t="s">
        <v>208</v>
      </c>
      <c r="B82" s="333"/>
      <c r="C82" s="333"/>
      <c r="D82" s="333"/>
      <c r="E82" s="333"/>
      <c r="F82" s="333"/>
      <c r="G82" s="333"/>
      <c r="H82" s="333"/>
      <c r="I82" s="333"/>
      <c r="J82" s="333"/>
      <c r="K82" s="333"/>
      <c r="L82" s="333"/>
      <c r="M82" s="333"/>
      <c r="N82" s="333"/>
      <c r="O82" s="333"/>
      <c r="P82" s="333"/>
      <c r="Q82" s="333"/>
      <c r="R82" s="333"/>
      <c r="S82" s="333"/>
      <c r="T82" s="333"/>
      <c r="U82" s="333"/>
      <c r="V82" s="333"/>
      <c r="W82" s="333"/>
      <c r="X82" s="333"/>
      <c r="Y82" s="333"/>
      <c r="Z82" s="333"/>
      <c r="AA82" s="333"/>
      <c r="AB82" s="333"/>
      <c r="AC82" s="333"/>
      <c r="AD82" s="333"/>
      <c r="AE82" s="333"/>
      <c r="AF82" s="333"/>
      <c r="AG82" s="333"/>
      <c r="AH82" s="333"/>
      <c r="AI82" s="333"/>
      <c r="AJ82" s="333"/>
      <c r="AK82" s="334"/>
    </row>
    <row r="83" spans="1:37" x14ac:dyDescent="0.25">
      <c r="A83" s="359" t="s">
        <v>218</v>
      </c>
      <c r="B83" s="300"/>
      <c r="C83" s="300"/>
      <c r="D83" s="300"/>
      <c r="E83" s="300"/>
      <c r="F83" s="300"/>
      <c r="G83" s="300"/>
      <c r="H83" s="300"/>
      <c r="I83" s="300"/>
      <c r="J83" s="300"/>
      <c r="K83" s="300"/>
      <c r="L83" s="300"/>
      <c r="M83" s="300"/>
      <c r="N83" s="300"/>
      <c r="O83" s="300"/>
      <c r="P83" s="300"/>
      <c r="Q83" s="300"/>
      <c r="R83" s="300"/>
      <c r="S83" s="300"/>
      <c r="T83" s="300"/>
      <c r="U83" s="300"/>
      <c r="V83" s="300"/>
      <c r="W83" s="300"/>
      <c r="X83" s="300"/>
      <c r="Y83" s="300"/>
      <c r="Z83" s="300"/>
      <c r="AA83" s="300"/>
      <c r="AB83" s="300"/>
      <c r="AC83" s="300"/>
      <c r="AD83" s="300"/>
      <c r="AE83" s="300"/>
      <c r="AF83" s="300"/>
      <c r="AG83" s="300"/>
      <c r="AH83" s="300"/>
      <c r="AI83" s="300"/>
      <c r="AJ83" s="300"/>
      <c r="AK83" s="301"/>
    </row>
    <row r="84" spans="1:37" x14ac:dyDescent="0.25">
      <c r="A84" s="360" t="s">
        <v>216</v>
      </c>
      <c r="B84" s="335"/>
      <c r="C84" s="335"/>
      <c r="D84" s="335"/>
      <c r="E84" s="335"/>
      <c r="F84" s="335"/>
      <c r="G84" s="335"/>
      <c r="H84" s="335"/>
      <c r="I84" s="335"/>
      <c r="J84" s="335"/>
      <c r="K84" s="335"/>
      <c r="L84" s="335"/>
      <c r="M84" s="335"/>
      <c r="N84" s="335"/>
      <c r="O84" s="335"/>
      <c r="P84" s="335"/>
      <c r="Q84" s="335"/>
      <c r="R84" s="335"/>
      <c r="S84" s="335"/>
      <c r="T84" s="335"/>
      <c r="U84" s="335"/>
      <c r="V84" s="335"/>
      <c r="W84" s="335"/>
      <c r="X84" s="335"/>
      <c r="Y84" s="335"/>
      <c r="Z84" s="335"/>
      <c r="AA84" s="335"/>
      <c r="AB84" s="335"/>
      <c r="AC84" s="335"/>
      <c r="AD84" s="335"/>
      <c r="AE84" s="335"/>
      <c r="AF84" s="335"/>
      <c r="AG84" s="335"/>
      <c r="AH84" s="335"/>
      <c r="AI84" s="335"/>
      <c r="AJ84" s="335"/>
      <c r="AK84" s="336"/>
    </row>
    <row r="85" spans="1:37" x14ac:dyDescent="0.25">
      <c r="A85" s="360" t="s">
        <v>217</v>
      </c>
      <c r="B85" s="335"/>
      <c r="C85" s="335"/>
      <c r="D85" s="335"/>
      <c r="E85" s="335"/>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335"/>
      <c r="AH85" s="335"/>
      <c r="AI85" s="335"/>
      <c r="AJ85" s="335"/>
      <c r="AK85" s="336"/>
    </row>
    <row r="86" spans="1:37" x14ac:dyDescent="0.25">
      <c r="A86" s="361"/>
      <c r="B86" s="362"/>
      <c r="C86" s="362"/>
      <c r="D86" s="362"/>
      <c r="E86" s="362"/>
      <c r="F86" s="362"/>
      <c r="G86" s="362"/>
      <c r="H86" s="362"/>
      <c r="I86" s="362"/>
      <c r="J86" s="362"/>
      <c r="K86" s="362"/>
      <c r="L86" s="362"/>
      <c r="M86" s="362"/>
      <c r="N86" s="362"/>
      <c r="O86" s="362"/>
      <c r="P86" s="362"/>
      <c r="Q86" s="362"/>
      <c r="R86" s="362"/>
      <c r="S86" s="362"/>
      <c r="T86" s="362"/>
      <c r="U86" s="362"/>
      <c r="V86" s="362"/>
      <c r="W86" s="362"/>
      <c r="X86" s="362"/>
      <c r="Y86" s="362"/>
      <c r="Z86" s="362"/>
      <c r="AA86" s="362"/>
      <c r="AB86" s="362"/>
      <c r="AC86" s="362"/>
      <c r="AD86" s="362"/>
      <c r="AE86" s="362"/>
      <c r="AF86" s="362"/>
      <c r="AG86" s="362"/>
      <c r="AH86" s="362"/>
      <c r="AI86" s="362"/>
      <c r="AJ86" s="362"/>
      <c r="AK86" s="363"/>
    </row>
    <row r="87" spans="1:37" x14ac:dyDescent="0.25">
      <c r="A87" s="299" t="s">
        <v>222</v>
      </c>
      <c r="B87" s="300"/>
      <c r="C87" s="300"/>
      <c r="D87" s="300"/>
      <c r="E87" s="300"/>
      <c r="F87" s="300"/>
      <c r="G87" s="300"/>
      <c r="H87" s="300"/>
      <c r="I87" s="300"/>
      <c r="J87" s="300"/>
      <c r="K87" s="300"/>
      <c r="L87" s="300"/>
      <c r="M87" s="300"/>
      <c r="N87" s="300"/>
      <c r="O87" s="300"/>
      <c r="P87" s="300"/>
      <c r="Q87" s="300"/>
      <c r="R87" s="300"/>
      <c r="S87" s="300"/>
      <c r="T87" s="300"/>
      <c r="U87" s="300"/>
      <c r="V87" s="300"/>
      <c r="W87" s="300"/>
      <c r="X87" s="300"/>
      <c r="Y87" s="300"/>
      <c r="Z87" s="300"/>
      <c r="AA87" s="300"/>
      <c r="AB87" s="300"/>
      <c r="AC87" s="300"/>
      <c r="AD87" s="300"/>
      <c r="AE87" s="300"/>
      <c r="AF87" s="300"/>
      <c r="AG87" s="300"/>
      <c r="AH87" s="300"/>
      <c r="AI87" s="300"/>
      <c r="AJ87" s="300"/>
      <c r="AK87" s="301"/>
    </row>
    <row r="88" spans="1:37" ht="32.25" customHeight="1" x14ac:dyDescent="0.25">
      <c r="A88" s="294" t="s">
        <v>221</v>
      </c>
      <c r="B88" s="297"/>
      <c r="C88" s="297"/>
      <c r="D88" s="297"/>
      <c r="E88" s="297"/>
      <c r="F88" s="297"/>
      <c r="G88" s="297"/>
      <c r="H88" s="297"/>
      <c r="I88" s="297"/>
      <c r="J88" s="297"/>
      <c r="K88" s="297"/>
      <c r="L88" s="297"/>
      <c r="M88" s="297"/>
      <c r="N88" s="297"/>
      <c r="O88" s="297"/>
      <c r="P88" s="297"/>
      <c r="Q88" s="297"/>
      <c r="R88" s="297"/>
      <c r="S88" s="297"/>
      <c r="T88" s="297"/>
      <c r="U88" s="297"/>
      <c r="V88" s="297"/>
      <c r="W88" s="297"/>
      <c r="X88" s="297"/>
      <c r="Y88" s="297"/>
      <c r="Z88" s="297"/>
      <c r="AA88" s="297"/>
      <c r="AB88" s="297"/>
      <c r="AC88" s="297"/>
      <c r="AD88" s="297"/>
      <c r="AE88" s="297"/>
      <c r="AF88" s="297"/>
      <c r="AG88" s="297"/>
      <c r="AH88" s="297"/>
      <c r="AI88" s="297"/>
      <c r="AJ88" s="297"/>
      <c r="AK88" s="298"/>
    </row>
    <row r="89" spans="1:37" ht="17.25" customHeight="1" x14ac:dyDescent="0.25">
      <c r="A89" s="337"/>
      <c r="B89" s="338"/>
      <c r="C89" s="338"/>
      <c r="D89" s="338"/>
      <c r="E89" s="338"/>
      <c r="F89" s="338"/>
      <c r="G89" s="338"/>
      <c r="H89" s="338"/>
      <c r="I89" s="338"/>
      <c r="J89" s="338"/>
      <c r="K89" s="338"/>
      <c r="L89" s="338"/>
      <c r="M89" s="338"/>
      <c r="N89" s="338"/>
      <c r="O89" s="338"/>
      <c r="P89" s="338"/>
      <c r="Q89" s="338"/>
      <c r="R89" s="338"/>
      <c r="S89" s="338"/>
      <c r="T89" s="338"/>
      <c r="U89" s="338"/>
      <c r="V89" s="338"/>
      <c r="W89" s="338"/>
      <c r="X89" s="338"/>
      <c r="Y89" s="338"/>
      <c r="Z89" s="338"/>
      <c r="AA89" s="338"/>
      <c r="AB89" s="338"/>
      <c r="AC89" s="338"/>
      <c r="AD89" s="338"/>
      <c r="AE89" s="338"/>
      <c r="AF89" s="338"/>
      <c r="AG89" s="338"/>
      <c r="AH89" s="338"/>
      <c r="AI89" s="338"/>
      <c r="AJ89" s="338"/>
      <c r="AK89" s="339"/>
    </row>
    <row r="90" spans="1:37" ht="17.25" customHeight="1" x14ac:dyDescent="0.25">
      <c r="A90" s="294" t="s">
        <v>238</v>
      </c>
      <c r="B90" s="297"/>
      <c r="C90" s="297"/>
      <c r="D90" s="297"/>
      <c r="E90" s="297"/>
      <c r="F90" s="297"/>
      <c r="G90" s="297"/>
      <c r="H90" s="297"/>
      <c r="I90" s="297"/>
      <c r="J90" s="297"/>
      <c r="K90" s="297"/>
      <c r="L90" s="297"/>
      <c r="M90" s="297"/>
      <c r="N90" s="297"/>
      <c r="O90" s="297"/>
      <c r="P90" s="297"/>
      <c r="Q90" s="297"/>
      <c r="R90" s="297"/>
      <c r="S90" s="297"/>
      <c r="T90" s="297"/>
      <c r="U90" s="297"/>
      <c r="V90" s="297"/>
      <c r="W90" s="297"/>
      <c r="X90" s="297"/>
      <c r="Y90" s="297"/>
      <c r="Z90" s="297"/>
      <c r="AA90" s="297"/>
      <c r="AB90" s="297"/>
      <c r="AC90" s="297"/>
      <c r="AD90" s="297"/>
      <c r="AE90" s="297"/>
      <c r="AF90" s="297"/>
      <c r="AG90" s="297"/>
      <c r="AH90" s="297"/>
      <c r="AI90" s="297"/>
      <c r="AJ90" s="297"/>
      <c r="AK90" s="298"/>
    </row>
    <row r="91" spans="1:37" ht="15" customHeight="1" x14ac:dyDescent="0.25">
      <c r="A91" s="337"/>
      <c r="B91" s="338"/>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K91" s="339"/>
    </row>
    <row r="92" spans="1:37" ht="14.25" customHeight="1" x14ac:dyDescent="0.25">
      <c r="A92" s="294" t="s">
        <v>229</v>
      </c>
      <c r="B92" s="297"/>
      <c r="C92" s="297"/>
      <c r="D92" s="297"/>
      <c r="E92" s="297"/>
      <c r="F92" s="297"/>
      <c r="G92" s="297"/>
      <c r="H92" s="297"/>
      <c r="I92" s="297"/>
      <c r="J92" s="297"/>
      <c r="K92" s="297"/>
      <c r="L92" s="297"/>
      <c r="M92" s="297"/>
      <c r="N92" s="297"/>
      <c r="O92" s="297"/>
      <c r="P92" s="297"/>
      <c r="Q92" s="297"/>
      <c r="R92" s="297"/>
      <c r="S92" s="297"/>
      <c r="T92" s="297"/>
      <c r="U92" s="297"/>
      <c r="V92" s="297"/>
      <c r="W92" s="297"/>
      <c r="X92" s="297"/>
      <c r="Y92" s="297"/>
      <c r="Z92" s="297"/>
      <c r="AA92" s="297"/>
      <c r="AB92" s="297"/>
      <c r="AC92" s="297"/>
      <c r="AD92" s="297"/>
      <c r="AE92" s="297"/>
      <c r="AF92" s="297"/>
      <c r="AG92" s="297"/>
      <c r="AH92" s="297"/>
      <c r="AI92" s="297"/>
      <c r="AJ92" s="297"/>
      <c r="AK92" s="298"/>
    </row>
    <row r="93" spans="1:37" ht="14.25" customHeight="1" x14ac:dyDescent="0.25">
      <c r="A93" s="294" t="s">
        <v>225</v>
      </c>
      <c r="B93" s="297"/>
      <c r="C93" s="297"/>
      <c r="D93" s="297"/>
      <c r="E93" s="297"/>
      <c r="F93" s="297"/>
      <c r="G93" s="297"/>
      <c r="H93" s="297"/>
      <c r="I93" s="297"/>
      <c r="J93" s="297"/>
      <c r="K93" s="297"/>
      <c r="L93" s="297"/>
      <c r="M93" s="297"/>
      <c r="N93" s="297"/>
      <c r="O93" s="297"/>
      <c r="P93" s="297"/>
      <c r="Q93" s="297"/>
      <c r="R93" s="297"/>
      <c r="S93" s="297"/>
      <c r="T93" s="297"/>
      <c r="U93" s="297"/>
      <c r="V93" s="297"/>
      <c r="W93" s="297"/>
      <c r="X93" s="297"/>
      <c r="Y93" s="297"/>
      <c r="Z93" s="297"/>
      <c r="AA93" s="297"/>
      <c r="AB93" s="297"/>
      <c r="AC93" s="297"/>
      <c r="AD93" s="297"/>
      <c r="AE93" s="297"/>
      <c r="AF93" s="297"/>
      <c r="AG93" s="297"/>
      <c r="AH93" s="297"/>
      <c r="AI93" s="297"/>
      <c r="AJ93" s="297"/>
      <c r="AK93" s="298"/>
    </row>
    <row r="94" spans="1:37" ht="7.5" customHeight="1" thickBot="1" x14ac:dyDescent="0.3">
      <c r="A94" s="350"/>
      <c r="B94" s="351"/>
      <c r="C94" s="351"/>
      <c r="D94" s="351"/>
      <c r="E94" s="351"/>
      <c r="F94" s="351"/>
      <c r="G94" s="351"/>
      <c r="H94" s="351"/>
      <c r="I94" s="351"/>
      <c r="J94" s="351"/>
      <c r="K94" s="351"/>
      <c r="L94" s="351"/>
      <c r="M94" s="351"/>
      <c r="N94" s="351"/>
      <c r="O94" s="351"/>
      <c r="P94" s="351"/>
      <c r="Q94" s="351"/>
      <c r="R94" s="351"/>
      <c r="S94" s="351"/>
      <c r="T94" s="351"/>
      <c r="U94" s="351"/>
      <c r="V94" s="351"/>
      <c r="W94" s="351"/>
      <c r="X94" s="351"/>
      <c r="Y94" s="351"/>
      <c r="Z94" s="351"/>
      <c r="AA94" s="351"/>
      <c r="AB94" s="351"/>
      <c r="AC94" s="351"/>
      <c r="AD94" s="351"/>
      <c r="AE94" s="351"/>
      <c r="AF94" s="351"/>
      <c r="AG94" s="351"/>
      <c r="AH94" s="351"/>
      <c r="AI94" s="351"/>
      <c r="AJ94" s="351"/>
      <c r="AK94" s="352"/>
    </row>
  </sheetData>
  <mergeCells count="27">
    <mergeCell ref="A89:AK89"/>
    <mergeCell ref="A3:AK3"/>
    <mergeCell ref="A4:AK4"/>
    <mergeCell ref="A5:AK5"/>
    <mergeCell ref="A6:AK6"/>
    <mergeCell ref="A7:AK7"/>
    <mergeCell ref="A82:AK82"/>
    <mergeCell ref="A87:AK87"/>
    <mergeCell ref="A78:AK78"/>
    <mergeCell ref="A79:AK79"/>
    <mergeCell ref="A80:AK80"/>
    <mergeCell ref="A94:AK94"/>
    <mergeCell ref="A8:AK8"/>
    <mergeCell ref="C10:H10"/>
    <mergeCell ref="J10:N10"/>
    <mergeCell ref="P10:W10"/>
    <mergeCell ref="Y10:AD10"/>
    <mergeCell ref="AF10:AK10"/>
    <mergeCell ref="A83:AK83"/>
    <mergeCell ref="A84:AK84"/>
    <mergeCell ref="A85:AK85"/>
    <mergeCell ref="A88:AK88"/>
    <mergeCell ref="A91:AK91"/>
    <mergeCell ref="A92:AK92"/>
    <mergeCell ref="A93:AK93"/>
    <mergeCell ref="A90:AK90"/>
    <mergeCell ref="A86:AK86"/>
  </mergeCells>
  <pageMargins left="0.70866141732283472" right="0.70866141732283472" top="0.74803149606299213" bottom="0.74803149606299213" header="0.31496062992125984" footer="0.31496062992125984"/>
  <pageSetup paperSize="8" scale="67" fitToHeight="0" orientation="landscape" r:id="rId1"/>
  <rowBreaks count="1" manualBreakCount="1">
    <brk id="74" max="36"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8"/>
  <sheetViews>
    <sheetView workbookViewId="0">
      <selection activeCell="J52" sqref="J52"/>
    </sheetView>
  </sheetViews>
  <sheetFormatPr defaultRowHeight="15" x14ac:dyDescent="0.25"/>
  <cols>
    <col min="1" max="1" width="6" customWidth="1"/>
    <col min="2" max="2" width="16.28515625" customWidth="1"/>
    <col min="4" max="4" width="5.140625" customWidth="1"/>
    <col min="5" max="5" width="5.5703125" customWidth="1"/>
    <col min="6" max="6" width="3.28515625" customWidth="1"/>
    <col min="7" max="7" width="4.85546875" customWidth="1"/>
    <col min="8" max="8" width="16.42578125" customWidth="1"/>
    <col min="9" max="9" width="8.85546875" customWidth="1"/>
    <col min="10" max="10" width="5" customWidth="1"/>
    <col min="11" max="11" width="5.28515625" customWidth="1"/>
    <col min="12" max="12" width="3.28515625" customWidth="1"/>
    <col min="13" max="13" width="5.7109375" customWidth="1"/>
    <col min="14" max="14" width="17" customWidth="1"/>
    <col min="16" max="16" width="5.7109375" customWidth="1"/>
    <col min="17" max="17" width="6.28515625" customWidth="1"/>
    <col min="18" max="18" width="3.7109375" customWidth="1"/>
    <col min="19" max="19" width="5.42578125" customWidth="1"/>
    <col min="20" max="20" width="14.28515625" customWidth="1"/>
    <col min="22" max="22" width="6.7109375" customWidth="1"/>
    <col min="23" max="23" width="6.28515625" customWidth="1"/>
    <col min="24" max="24" width="4" customWidth="1"/>
    <col min="25" max="25" width="6.28515625" customWidth="1"/>
    <col min="26" max="26" width="17.28515625" customWidth="1"/>
    <col min="28" max="29" width="6.7109375" customWidth="1"/>
  </cols>
  <sheetData>
    <row r="1" spans="1:29" x14ac:dyDescent="0.25">
      <c r="A1" s="1" t="s">
        <v>174</v>
      </c>
    </row>
    <row r="3" spans="1:29" x14ac:dyDescent="0.25">
      <c r="A3" s="4"/>
      <c r="B3" s="5" t="s">
        <v>27</v>
      </c>
      <c r="C3" s="4"/>
      <c r="D3" s="4"/>
      <c r="E3" s="4"/>
      <c r="G3" s="6" t="s">
        <v>26</v>
      </c>
      <c r="H3" s="7"/>
      <c r="I3" s="7"/>
      <c r="J3" s="7"/>
      <c r="K3" s="7"/>
      <c r="M3" s="8" t="s">
        <v>23</v>
      </c>
      <c r="N3" s="9"/>
      <c r="O3" s="9"/>
      <c r="P3" s="9"/>
      <c r="Q3" s="9"/>
      <c r="S3" s="2" t="s">
        <v>24</v>
      </c>
      <c r="T3" s="3"/>
      <c r="U3" s="3"/>
      <c r="V3" s="3"/>
      <c r="W3" s="3"/>
      <c r="Y3" s="10" t="s">
        <v>175</v>
      </c>
      <c r="Z3" s="11"/>
      <c r="AA3" s="11"/>
      <c r="AB3" s="11"/>
      <c r="AC3" s="11"/>
    </row>
    <row r="4" spans="1:29" x14ac:dyDescent="0.25">
      <c r="A4" s="4" t="s">
        <v>4</v>
      </c>
      <c r="B4" s="4" t="s">
        <v>2</v>
      </c>
      <c r="C4" s="4"/>
      <c r="D4" s="4" t="s">
        <v>3</v>
      </c>
      <c r="E4" s="4" t="s">
        <v>3</v>
      </c>
      <c r="G4" s="7" t="s">
        <v>4</v>
      </c>
      <c r="H4" s="7" t="s">
        <v>2</v>
      </c>
      <c r="I4" s="7"/>
      <c r="J4" s="7" t="s">
        <v>3</v>
      </c>
      <c r="K4" s="7" t="s">
        <v>3</v>
      </c>
      <c r="M4" s="9" t="s">
        <v>4</v>
      </c>
      <c r="N4" s="9" t="s">
        <v>2</v>
      </c>
      <c r="O4" s="9"/>
      <c r="P4" s="9" t="s">
        <v>3</v>
      </c>
      <c r="Q4" s="9" t="s">
        <v>3</v>
      </c>
      <c r="S4" s="3" t="s">
        <v>4</v>
      </c>
      <c r="T4" s="3" t="s">
        <v>2</v>
      </c>
      <c r="U4" s="3"/>
      <c r="V4" s="3" t="s">
        <v>3</v>
      </c>
      <c r="W4" s="3" t="s">
        <v>3</v>
      </c>
      <c r="Y4" s="11" t="s">
        <v>4</v>
      </c>
      <c r="Z4" s="11" t="s">
        <v>2</v>
      </c>
      <c r="AA4" s="11"/>
      <c r="AB4" s="11" t="s">
        <v>3</v>
      </c>
      <c r="AC4" s="11" t="s">
        <v>3</v>
      </c>
    </row>
    <row r="5" spans="1:29" x14ac:dyDescent="0.25">
      <c r="A5" s="4"/>
      <c r="B5" s="4"/>
      <c r="C5" s="4"/>
      <c r="D5" s="4"/>
      <c r="E5" s="4"/>
      <c r="G5" s="7"/>
      <c r="H5" s="7"/>
      <c r="I5" s="7"/>
      <c r="J5" s="7"/>
      <c r="K5" s="7"/>
      <c r="M5" s="9"/>
      <c r="N5" s="9"/>
      <c r="O5" s="9"/>
      <c r="P5" s="9"/>
      <c r="Q5" s="9"/>
      <c r="S5" s="3"/>
      <c r="T5" s="3"/>
      <c r="U5" s="3"/>
      <c r="V5" s="3"/>
      <c r="W5" s="3"/>
      <c r="Y5" s="11"/>
      <c r="Z5" s="11"/>
      <c r="AA5" s="11"/>
      <c r="AB5" s="11"/>
      <c r="AC5" s="11"/>
    </row>
    <row r="6" spans="1:29" x14ac:dyDescent="0.25">
      <c r="A6" s="4" t="s">
        <v>0</v>
      </c>
      <c r="B6" s="4" t="s">
        <v>5</v>
      </c>
      <c r="C6" s="4"/>
      <c r="D6" s="4">
        <v>1000</v>
      </c>
      <c r="E6" s="4"/>
      <c r="G6" s="7" t="s">
        <v>0</v>
      </c>
      <c r="H6" s="7" t="s">
        <v>5</v>
      </c>
      <c r="I6" s="7"/>
      <c r="J6" s="7">
        <v>250</v>
      </c>
      <c r="K6" s="7"/>
      <c r="M6" s="9" t="s">
        <v>0</v>
      </c>
      <c r="N6" s="9" t="s">
        <v>5</v>
      </c>
      <c r="O6" s="9"/>
      <c r="P6" s="9">
        <f>D6+J6</f>
        <v>1250</v>
      </c>
      <c r="Q6" s="9"/>
      <c r="S6" s="104" t="s">
        <v>1</v>
      </c>
      <c r="T6" s="104" t="s">
        <v>5</v>
      </c>
      <c r="U6" s="104"/>
      <c r="V6" s="104"/>
      <c r="W6" s="104">
        <f>J6</f>
        <v>250</v>
      </c>
      <c r="Y6" s="11" t="s">
        <v>0</v>
      </c>
      <c r="Z6" s="11" t="s">
        <v>5</v>
      </c>
      <c r="AA6" s="11"/>
      <c r="AB6" s="11">
        <f>P6-W6</f>
        <v>1000</v>
      </c>
      <c r="AC6" s="11"/>
    </row>
    <row r="7" spans="1:29" x14ac:dyDescent="0.25">
      <c r="A7" s="4" t="s">
        <v>1</v>
      </c>
      <c r="B7" s="4" t="s">
        <v>6</v>
      </c>
      <c r="C7" s="4"/>
      <c r="D7" s="4"/>
      <c r="E7" s="4">
        <v>1000</v>
      </c>
      <c r="G7" s="7" t="s">
        <v>1</v>
      </c>
      <c r="H7" s="7" t="s">
        <v>6</v>
      </c>
      <c r="I7" s="7"/>
      <c r="J7" s="7"/>
      <c r="K7" s="7">
        <v>250</v>
      </c>
      <c r="M7" s="9" t="s">
        <v>1</v>
      </c>
      <c r="N7" s="9" t="s">
        <v>6</v>
      </c>
      <c r="O7" s="9"/>
      <c r="P7" s="9"/>
      <c r="Q7" s="9">
        <f>E7+K7</f>
        <v>1250</v>
      </c>
      <c r="S7" s="104" t="s">
        <v>0</v>
      </c>
      <c r="T7" s="104" t="s">
        <v>6</v>
      </c>
      <c r="U7" s="104"/>
      <c r="V7" s="104">
        <f>K7</f>
        <v>250</v>
      </c>
      <c r="W7" s="104"/>
      <c r="Y7" s="11" t="s">
        <v>1</v>
      </c>
      <c r="Z7" s="11" t="s">
        <v>6</v>
      </c>
      <c r="AA7" s="11"/>
      <c r="AB7" s="11"/>
      <c r="AC7" s="11">
        <f>Q7-V7</f>
        <v>1000</v>
      </c>
    </row>
    <row r="8" spans="1:29" x14ac:dyDescent="0.25">
      <c r="A8" s="4" t="s">
        <v>7</v>
      </c>
      <c r="B8" s="4"/>
      <c r="C8" s="4"/>
      <c r="D8" s="4"/>
      <c r="E8" s="4"/>
      <c r="G8" s="7" t="s">
        <v>7</v>
      </c>
      <c r="H8" s="7"/>
      <c r="I8" s="7"/>
      <c r="J8" s="7"/>
      <c r="K8" s="7"/>
      <c r="M8" s="9" t="s">
        <v>7</v>
      </c>
      <c r="N8" s="9"/>
      <c r="O8" s="9"/>
      <c r="P8" s="9"/>
      <c r="Q8" s="9"/>
      <c r="S8" s="104" t="s">
        <v>7</v>
      </c>
      <c r="T8" s="104"/>
      <c r="U8" s="104"/>
      <c r="V8" s="104"/>
      <c r="W8" s="104"/>
      <c r="Y8" s="11" t="s">
        <v>7</v>
      </c>
      <c r="Z8" s="11"/>
      <c r="AA8" s="11"/>
      <c r="AB8" s="11"/>
      <c r="AC8" s="11"/>
    </row>
    <row r="9" spans="1:29" x14ac:dyDescent="0.25">
      <c r="A9" s="4"/>
      <c r="B9" s="4"/>
      <c r="C9" s="4"/>
      <c r="D9" s="4"/>
      <c r="E9" s="4"/>
      <c r="G9" s="7"/>
      <c r="H9" s="7"/>
      <c r="I9" s="7"/>
      <c r="J9" s="7"/>
      <c r="K9" s="7"/>
      <c r="M9" s="9"/>
      <c r="N9" s="9"/>
      <c r="O9" s="9"/>
      <c r="P9" s="9"/>
      <c r="Q9" s="9"/>
      <c r="S9" s="104"/>
      <c r="T9" s="104"/>
      <c r="U9" s="104"/>
      <c r="V9" s="104"/>
      <c r="W9" s="104"/>
      <c r="Y9" s="11"/>
      <c r="Z9" s="11"/>
      <c r="AA9" s="11"/>
      <c r="AB9" s="11"/>
      <c r="AC9" s="11"/>
    </row>
    <row r="10" spans="1:29" x14ac:dyDescent="0.25">
      <c r="A10" s="4" t="s">
        <v>0</v>
      </c>
      <c r="B10" s="4" t="s">
        <v>8</v>
      </c>
      <c r="C10" s="4"/>
      <c r="D10" s="4">
        <v>100</v>
      </c>
      <c r="E10" s="4"/>
      <c r="G10" s="7" t="s">
        <v>0</v>
      </c>
      <c r="H10" s="7" t="s">
        <v>8</v>
      </c>
      <c r="I10" s="7"/>
      <c r="J10" s="7">
        <v>15</v>
      </c>
      <c r="K10" s="7"/>
      <c r="M10" s="9" t="s">
        <v>0</v>
      </c>
      <c r="N10" s="9" t="s">
        <v>8</v>
      </c>
      <c r="O10" s="9"/>
      <c r="P10" s="9">
        <f>D10+J10</f>
        <v>115</v>
      </c>
      <c r="Q10" s="9"/>
      <c r="S10" s="104" t="s">
        <v>1</v>
      </c>
      <c r="T10" s="104" t="s">
        <v>8</v>
      </c>
      <c r="U10" s="104"/>
      <c r="V10" s="104"/>
      <c r="W10" s="104">
        <f>J10</f>
        <v>15</v>
      </c>
      <c r="Y10" s="11" t="s">
        <v>0</v>
      </c>
      <c r="Z10" s="11" t="s">
        <v>8</v>
      </c>
      <c r="AA10" s="11"/>
      <c r="AB10" s="11">
        <f>P10-W10</f>
        <v>100</v>
      </c>
      <c r="AC10" s="11"/>
    </row>
    <row r="11" spans="1:29" x14ac:dyDescent="0.25">
      <c r="A11" s="4" t="s">
        <v>10</v>
      </c>
      <c r="B11" s="4" t="s">
        <v>9</v>
      </c>
      <c r="C11" s="4"/>
      <c r="D11" s="4"/>
      <c r="E11" s="4">
        <v>100</v>
      </c>
      <c r="G11" s="7" t="s">
        <v>10</v>
      </c>
      <c r="H11" s="7" t="s">
        <v>9</v>
      </c>
      <c r="I11" s="7"/>
      <c r="J11" s="7"/>
      <c r="K11" s="7">
        <v>15</v>
      </c>
      <c r="M11" s="9" t="s">
        <v>10</v>
      </c>
      <c r="N11" s="9" t="s">
        <v>9</v>
      </c>
      <c r="O11" s="9"/>
      <c r="P11" s="9"/>
      <c r="Q11" s="9">
        <f>E11+K11</f>
        <v>115</v>
      </c>
      <c r="S11" s="104" t="s">
        <v>0</v>
      </c>
      <c r="T11" s="104" t="s">
        <v>9</v>
      </c>
      <c r="U11" s="104"/>
      <c r="V11" s="104">
        <f>K11</f>
        <v>15</v>
      </c>
      <c r="W11" s="104"/>
      <c r="Y11" s="11" t="s">
        <v>10</v>
      </c>
      <c r="Z11" s="11" t="s">
        <v>9</v>
      </c>
      <c r="AA11" s="11"/>
      <c r="AB11" s="11"/>
      <c r="AC11" s="11">
        <f>Q11-V11</f>
        <v>100</v>
      </c>
    </row>
    <row r="12" spans="1:29" x14ac:dyDescent="0.25">
      <c r="A12" s="4" t="s">
        <v>11</v>
      </c>
      <c r="B12" s="4"/>
      <c r="C12" s="4"/>
      <c r="D12" s="4"/>
      <c r="E12" s="4"/>
      <c r="G12" s="7" t="s">
        <v>11</v>
      </c>
      <c r="H12" s="7"/>
      <c r="I12" s="7"/>
      <c r="J12" s="7"/>
      <c r="K12" s="7"/>
      <c r="M12" s="9" t="s">
        <v>11</v>
      </c>
      <c r="N12" s="9"/>
      <c r="O12" s="9"/>
      <c r="P12" s="9"/>
      <c r="Q12" s="9"/>
      <c r="S12" s="104" t="s">
        <v>11</v>
      </c>
      <c r="T12" s="104"/>
      <c r="U12" s="104"/>
      <c r="V12" s="104"/>
      <c r="W12" s="104"/>
      <c r="Y12" s="11" t="s">
        <v>11</v>
      </c>
      <c r="Z12" s="11"/>
      <c r="AA12" s="11"/>
      <c r="AB12" s="11"/>
      <c r="AC12" s="11"/>
    </row>
    <row r="13" spans="1:29" x14ac:dyDescent="0.25">
      <c r="A13" s="4"/>
      <c r="B13" s="4"/>
      <c r="C13" s="4"/>
      <c r="D13" s="4"/>
      <c r="E13" s="4"/>
      <c r="G13" s="7"/>
      <c r="H13" s="7"/>
      <c r="I13" s="7"/>
      <c r="J13" s="7"/>
      <c r="K13" s="7"/>
      <c r="M13" s="9"/>
      <c r="N13" s="9"/>
      <c r="O13" s="9"/>
      <c r="P13" s="9"/>
      <c r="Q13" s="9"/>
      <c r="S13" s="3"/>
      <c r="T13" s="3"/>
      <c r="U13" s="3"/>
      <c r="V13" s="3"/>
      <c r="W13" s="3"/>
      <c r="Y13" s="11"/>
      <c r="Z13" s="11"/>
      <c r="AA13" s="11"/>
      <c r="AB13" s="11"/>
      <c r="AC13" s="11"/>
    </row>
    <row r="14" spans="1:29" x14ac:dyDescent="0.25">
      <c r="A14" s="4" t="s">
        <v>0</v>
      </c>
      <c r="B14" s="4" t="s">
        <v>12</v>
      </c>
      <c r="C14" s="4"/>
      <c r="D14" s="4">
        <v>75</v>
      </c>
      <c r="E14" s="4"/>
      <c r="G14" s="7" t="s">
        <v>0</v>
      </c>
      <c r="H14" s="7" t="s">
        <v>12</v>
      </c>
      <c r="I14" s="7"/>
      <c r="J14" s="7">
        <v>40</v>
      </c>
      <c r="K14" s="7"/>
      <c r="M14" s="9" t="s">
        <v>0</v>
      </c>
      <c r="N14" s="9" t="s">
        <v>12</v>
      </c>
      <c r="O14" s="9"/>
      <c r="P14" s="9">
        <f>D14+J14</f>
        <v>115</v>
      </c>
      <c r="Q14" s="9"/>
      <c r="S14" s="3" t="s">
        <v>1</v>
      </c>
      <c r="T14" s="3" t="s">
        <v>12</v>
      </c>
      <c r="U14" s="3"/>
      <c r="V14" s="3"/>
      <c r="W14" s="3">
        <f>J14</f>
        <v>40</v>
      </c>
      <c r="Y14" s="11" t="s">
        <v>0</v>
      </c>
      <c r="Z14" s="11" t="s">
        <v>12</v>
      </c>
      <c r="AA14" s="11"/>
      <c r="AB14" s="11">
        <f>P14-W14</f>
        <v>75</v>
      </c>
      <c r="AC14" s="11"/>
    </row>
    <row r="15" spans="1:29" x14ac:dyDescent="0.25">
      <c r="A15" s="4" t="s">
        <v>0</v>
      </c>
      <c r="B15" s="4" t="s">
        <v>13</v>
      </c>
      <c r="C15" s="4"/>
      <c r="D15" s="4">
        <v>25</v>
      </c>
      <c r="E15" s="4"/>
      <c r="G15" s="7" t="s">
        <v>0</v>
      </c>
      <c r="H15" s="7" t="s">
        <v>13</v>
      </c>
      <c r="I15" s="7"/>
      <c r="J15" s="7">
        <v>20</v>
      </c>
      <c r="K15" s="7"/>
      <c r="M15" s="9" t="s">
        <v>0</v>
      </c>
      <c r="N15" s="9" t="s">
        <v>13</v>
      </c>
      <c r="O15" s="9"/>
      <c r="P15" s="9">
        <f>D15+J15</f>
        <v>45</v>
      </c>
      <c r="Q15" s="9"/>
      <c r="S15" s="3" t="s">
        <v>10</v>
      </c>
      <c r="T15" s="3" t="s">
        <v>13</v>
      </c>
      <c r="U15" s="3"/>
      <c r="V15" s="3"/>
      <c r="W15" s="3">
        <f>J15</f>
        <v>20</v>
      </c>
      <c r="Y15" s="11" t="s">
        <v>0</v>
      </c>
      <c r="Z15" s="11" t="s">
        <v>13</v>
      </c>
      <c r="AA15" s="11"/>
      <c r="AB15" s="11">
        <f>P15-W15</f>
        <v>25</v>
      </c>
      <c r="AC15" s="11"/>
    </row>
    <row r="16" spans="1:29" x14ac:dyDescent="0.25">
      <c r="A16" s="4" t="s">
        <v>1</v>
      </c>
      <c r="B16" s="4" t="s">
        <v>14</v>
      </c>
      <c r="C16" s="4"/>
      <c r="D16" s="4"/>
      <c r="E16" s="4">
        <v>100</v>
      </c>
      <c r="G16" s="7" t="s">
        <v>1</v>
      </c>
      <c r="H16" s="7" t="s">
        <v>14</v>
      </c>
      <c r="I16" s="7"/>
      <c r="J16" s="7"/>
      <c r="K16" s="7">
        <v>60</v>
      </c>
      <c r="M16" s="9" t="s">
        <v>1</v>
      </c>
      <c r="N16" s="9" t="s">
        <v>14</v>
      </c>
      <c r="O16" s="9"/>
      <c r="P16" s="9"/>
      <c r="Q16" s="9">
        <f>E16+K16</f>
        <v>160</v>
      </c>
      <c r="S16" s="3"/>
      <c r="T16" s="3" t="s">
        <v>14</v>
      </c>
      <c r="U16" s="3"/>
      <c r="V16" s="3"/>
      <c r="W16" s="3"/>
      <c r="Y16" s="16" t="s">
        <v>1</v>
      </c>
      <c r="Z16" s="16" t="s">
        <v>14</v>
      </c>
      <c r="AA16" s="16"/>
      <c r="AB16" s="16"/>
      <c r="AC16" s="16">
        <f>Q16</f>
        <v>160</v>
      </c>
    </row>
    <row r="17" spans="1:29" x14ac:dyDescent="0.25">
      <c r="A17" s="4" t="s">
        <v>15</v>
      </c>
      <c r="B17" s="4"/>
      <c r="C17" s="4"/>
      <c r="D17" s="4"/>
      <c r="E17" s="4"/>
      <c r="G17" s="7" t="s">
        <v>22</v>
      </c>
      <c r="H17" s="7"/>
      <c r="I17" s="7"/>
      <c r="J17" s="7"/>
      <c r="K17" s="7"/>
      <c r="M17" s="9" t="s">
        <v>15</v>
      </c>
      <c r="N17" s="9"/>
      <c r="O17" s="9"/>
      <c r="P17" s="9"/>
      <c r="Q17" s="9"/>
      <c r="S17" s="3" t="s">
        <v>176</v>
      </c>
      <c r="T17" s="3"/>
      <c r="U17" s="3"/>
      <c r="V17" s="3"/>
      <c r="W17" s="3"/>
      <c r="Y17" s="11" t="s">
        <v>15</v>
      </c>
      <c r="Z17" s="11"/>
      <c r="AA17" s="11"/>
      <c r="AB17" s="11"/>
      <c r="AC17" s="11"/>
    </row>
    <row r="18" spans="1:29" x14ac:dyDescent="0.25">
      <c r="A18" s="4"/>
      <c r="B18" s="4"/>
      <c r="C18" s="4"/>
      <c r="D18" s="4"/>
      <c r="E18" s="4"/>
      <c r="G18" s="7"/>
      <c r="H18" s="7"/>
      <c r="I18" s="7"/>
      <c r="J18" s="7"/>
      <c r="K18" s="7"/>
      <c r="M18" s="9"/>
      <c r="N18" s="9"/>
      <c r="O18" s="9"/>
      <c r="P18" s="9"/>
      <c r="Q18" s="9"/>
      <c r="S18" s="3"/>
      <c r="T18" s="3"/>
      <c r="U18" s="3"/>
      <c r="V18" s="3"/>
      <c r="W18" s="3"/>
      <c r="Y18" s="11"/>
      <c r="Z18" s="11"/>
      <c r="AA18" s="11"/>
      <c r="AB18" s="11"/>
      <c r="AC18" s="11"/>
    </row>
    <row r="19" spans="1:29" x14ac:dyDescent="0.25">
      <c r="A19" s="4" t="s">
        <v>0</v>
      </c>
      <c r="B19" s="4" t="s">
        <v>16</v>
      </c>
      <c r="C19" s="4"/>
      <c r="D19" s="4">
        <v>75</v>
      </c>
      <c r="E19" s="4"/>
      <c r="G19" s="7" t="s">
        <v>0</v>
      </c>
      <c r="H19" s="7" t="s">
        <v>16</v>
      </c>
      <c r="I19" s="7"/>
      <c r="J19" s="7">
        <v>40</v>
      </c>
      <c r="K19" s="7"/>
      <c r="M19" s="9" t="s">
        <v>0</v>
      </c>
      <c r="N19" s="9" t="s">
        <v>16</v>
      </c>
      <c r="O19" s="9"/>
      <c r="P19" s="9">
        <f>D19+J19</f>
        <v>115</v>
      </c>
      <c r="Q19" s="9"/>
      <c r="S19" s="3" t="s">
        <v>1</v>
      </c>
      <c r="T19" s="3" t="s">
        <v>16</v>
      </c>
      <c r="U19" s="3"/>
      <c r="V19" s="3"/>
      <c r="W19" s="3">
        <f>J19</f>
        <v>40</v>
      </c>
      <c r="Y19" s="11" t="s">
        <v>0</v>
      </c>
      <c r="Z19" s="11" t="s">
        <v>16</v>
      </c>
      <c r="AA19" s="11"/>
      <c r="AB19" s="11">
        <f>P19-W19</f>
        <v>75</v>
      </c>
      <c r="AC19" s="11"/>
    </row>
    <row r="20" spans="1:29" x14ac:dyDescent="0.25">
      <c r="A20" s="4" t="s">
        <v>0</v>
      </c>
      <c r="B20" s="4" t="s">
        <v>17</v>
      </c>
      <c r="C20" s="4"/>
      <c r="D20" s="4">
        <v>25</v>
      </c>
      <c r="E20" s="4"/>
      <c r="G20" s="7" t="s">
        <v>0</v>
      </c>
      <c r="H20" s="7" t="s">
        <v>17</v>
      </c>
      <c r="I20" s="7"/>
      <c r="J20" s="7">
        <v>20</v>
      </c>
      <c r="K20" s="7"/>
      <c r="M20" s="9" t="s">
        <v>0</v>
      </c>
      <c r="N20" s="9" t="s">
        <v>17</v>
      </c>
      <c r="O20" s="9"/>
      <c r="P20" s="9">
        <f>D20+J20</f>
        <v>45</v>
      </c>
      <c r="Q20" s="9"/>
      <c r="S20" s="3" t="s">
        <v>1</v>
      </c>
      <c r="T20" s="3" t="s">
        <v>17</v>
      </c>
      <c r="U20" s="3"/>
      <c r="V20" s="3"/>
      <c r="W20" s="3">
        <f>J20</f>
        <v>20</v>
      </c>
      <c r="Y20" s="11" t="s">
        <v>0</v>
      </c>
      <c r="Z20" s="11" t="s">
        <v>17</v>
      </c>
      <c r="AA20" s="11"/>
      <c r="AB20" s="11">
        <f>P20-W20</f>
        <v>25</v>
      </c>
      <c r="AC20" s="11"/>
    </row>
    <row r="21" spans="1:29" x14ac:dyDescent="0.25">
      <c r="A21" s="12" t="s">
        <v>18</v>
      </c>
      <c r="B21" s="4"/>
      <c r="C21" s="4"/>
      <c r="D21" s="4"/>
      <c r="E21" s="4"/>
      <c r="G21" s="13" t="s">
        <v>18</v>
      </c>
      <c r="H21" s="7"/>
      <c r="I21" s="7"/>
      <c r="J21" s="7"/>
      <c r="K21" s="7"/>
      <c r="M21" s="14" t="s">
        <v>18</v>
      </c>
      <c r="N21" s="9"/>
      <c r="O21" s="9"/>
      <c r="P21" s="9"/>
      <c r="Q21" s="9"/>
      <c r="S21" s="15" t="s">
        <v>18</v>
      </c>
      <c r="T21" s="3"/>
      <c r="U21" s="3"/>
      <c r="V21" s="3"/>
      <c r="W21" s="3"/>
      <c r="Y21" s="16" t="s">
        <v>18</v>
      </c>
      <c r="Z21" s="11"/>
      <c r="AA21" s="11"/>
      <c r="AB21" s="11"/>
      <c r="AC21" s="11"/>
    </row>
    <row r="22" spans="1:29" x14ac:dyDescent="0.25">
      <c r="A22" s="4"/>
      <c r="B22" s="4"/>
      <c r="C22" s="4"/>
      <c r="D22" s="4"/>
      <c r="E22" s="4"/>
      <c r="G22" s="6" t="s">
        <v>177</v>
      </c>
      <c r="H22" s="6"/>
      <c r="I22" s="6"/>
      <c r="J22" s="6"/>
      <c r="K22" s="6"/>
      <c r="M22" s="9"/>
      <c r="N22" s="9"/>
      <c r="O22" s="9"/>
      <c r="P22" s="9"/>
      <c r="Q22" s="9"/>
      <c r="S22" s="3"/>
      <c r="T22" s="3"/>
      <c r="U22" s="3"/>
      <c r="V22" s="3"/>
      <c r="W22" s="3"/>
      <c r="Y22" s="11"/>
      <c r="Z22" s="11"/>
      <c r="AA22" s="11"/>
      <c r="AB22" s="11"/>
      <c r="AC22" s="11"/>
    </row>
    <row r="23" spans="1:29" x14ac:dyDescent="0.25">
      <c r="A23" s="7" t="s">
        <v>0</v>
      </c>
      <c r="B23" s="7" t="s">
        <v>14</v>
      </c>
      <c r="C23" s="7"/>
      <c r="D23" s="7">
        <v>60</v>
      </c>
      <c r="E23" s="7"/>
      <c r="M23" s="9" t="s">
        <v>0</v>
      </c>
      <c r="N23" s="9" t="s">
        <v>14</v>
      </c>
      <c r="O23" s="9"/>
      <c r="P23" s="9">
        <f>D23+J23</f>
        <v>60</v>
      </c>
      <c r="Q23" s="9"/>
      <c r="S23" s="3"/>
      <c r="T23" s="3" t="s">
        <v>14</v>
      </c>
      <c r="U23" s="3"/>
      <c r="V23" s="3"/>
      <c r="W23" s="3"/>
      <c r="Y23" s="16" t="s">
        <v>0</v>
      </c>
      <c r="Z23" s="16" t="s">
        <v>14</v>
      </c>
      <c r="AA23" s="16"/>
      <c r="AB23" s="16">
        <f>P23</f>
        <v>60</v>
      </c>
      <c r="AC23" s="11"/>
    </row>
    <row r="24" spans="1:29" x14ac:dyDescent="0.25">
      <c r="A24" s="7" t="s">
        <v>1</v>
      </c>
      <c r="B24" s="7" t="s">
        <v>25</v>
      </c>
      <c r="C24" s="7"/>
      <c r="D24" s="7"/>
      <c r="E24" s="7">
        <v>60</v>
      </c>
      <c r="F24" t="s">
        <v>152</v>
      </c>
      <c r="M24" s="9" t="s">
        <v>1</v>
      </c>
      <c r="N24" s="9" t="s">
        <v>25</v>
      </c>
      <c r="O24" s="9"/>
      <c r="P24" s="9"/>
      <c r="Q24" s="9">
        <f>E24+K24</f>
        <v>60</v>
      </c>
      <c r="S24" s="3" t="s">
        <v>0</v>
      </c>
      <c r="T24" s="3" t="s">
        <v>25</v>
      </c>
      <c r="U24" s="3"/>
      <c r="V24" s="3">
        <f>E24</f>
        <v>60</v>
      </c>
      <c r="W24" s="3"/>
      <c r="Y24" s="11" t="s">
        <v>1</v>
      </c>
      <c r="Z24" s="11" t="s">
        <v>25</v>
      </c>
      <c r="AA24" s="11"/>
      <c r="AB24" s="11"/>
      <c r="AC24" s="11">
        <f>Q24-V24</f>
        <v>0</v>
      </c>
    </row>
    <row r="25" spans="1:29" x14ac:dyDescent="0.25">
      <c r="A25" s="7" t="s">
        <v>20</v>
      </c>
      <c r="B25" s="7"/>
      <c r="C25" s="7"/>
      <c r="D25" s="7"/>
      <c r="E25" s="7"/>
      <c r="M25" s="9" t="s">
        <v>20</v>
      </c>
      <c r="N25" s="9"/>
      <c r="O25" s="9"/>
      <c r="P25" s="9"/>
      <c r="Q25" s="9"/>
      <c r="S25" s="3" t="s">
        <v>20</v>
      </c>
      <c r="T25" s="3"/>
      <c r="U25" s="3"/>
      <c r="V25" s="3"/>
      <c r="W25" s="3"/>
      <c r="Y25" s="11" t="s">
        <v>20</v>
      </c>
      <c r="Z25" s="11"/>
      <c r="AA25" s="11"/>
      <c r="AB25" s="11"/>
      <c r="AC25" s="11"/>
    </row>
    <row r="26" spans="1:29" x14ac:dyDescent="0.25">
      <c r="A26" s="7"/>
      <c r="B26" s="7"/>
      <c r="C26" s="7"/>
      <c r="D26" s="7"/>
      <c r="E26" s="7"/>
      <c r="M26" s="9"/>
      <c r="N26" s="9"/>
      <c r="O26" s="9"/>
      <c r="P26" s="9"/>
      <c r="Q26" s="9"/>
      <c r="S26" s="3"/>
      <c r="T26" s="3"/>
      <c r="U26" s="3"/>
      <c r="V26" s="3"/>
      <c r="W26" s="3"/>
      <c r="Y26" s="11"/>
      <c r="Z26" s="11"/>
      <c r="AA26" s="11"/>
      <c r="AB26" s="11"/>
      <c r="AC26" s="11"/>
    </row>
    <row r="27" spans="1:29" x14ac:dyDescent="0.25">
      <c r="A27" s="7" t="s">
        <v>1</v>
      </c>
      <c r="B27" s="7" t="s">
        <v>19</v>
      </c>
      <c r="C27" s="7"/>
      <c r="D27" s="7"/>
      <c r="E27" s="7">
        <v>60</v>
      </c>
      <c r="F27" t="s">
        <v>152</v>
      </c>
      <c r="M27" s="9" t="s">
        <v>1</v>
      </c>
      <c r="N27" s="9" t="s">
        <v>19</v>
      </c>
      <c r="O27" s="9"/>
      <c r="P27" s="9"/>
      <c r="Q27" s="9">
        <f>E27+K27</f>
        <v>60</v>
      </c>
      <c r="S27" s="3" t="s">
        <v>0</v>
      </c>
      <c r="T27" s="3" t="s">
        <v>19</v>
      </c>
      <c r="U27" s="3"/>
      <c r="V27" s="3">
        <v>60</v>
      </c>
      <c r="W27" s="3"/>
      <c r="Y27" s="11" t="s">
        <v>1</v>
      </c>
      <c r="Z27" s="11" t="s">
        <v>19</v>
      </c>
      <c r="AA27" s="11"/>
      <c r="AB27" s="11"/>
      <c r="AC27" s="11">
        <f>Q27-V27</f>
        <v>0</v>
      </c>
    </row>
    <row r="28" spans="1:29" x14ac:dyDescent="0.25">
      <c r="A28" s="13" t="s">
        <v>21</v>
      </c>
      <c r="B28" s="7"/>
      <c r="C28" s="7"/>
      <c r="D28" s="7"/>
      <c r="E28" s="7"/>
      <c r="M28" s="14" t="s">
        <v>21</v>
      </c>
      <c r="N28" s="9"/>
      <c r="O28" s="9"/>
      <c r="P28" s="9"/>
      <c r="Q28" s="9"/>
      <c r="S28" s="15" t="s">
        <v>21</v>
      </c>
      <c r="T28" s="3"/>
      <c r="U28" s="3"/>
      <c r="V28" s="3"/>
      <c r="W28" s="3"/>
      <c r="Y28" s="16" t="s">
        <v>21</v>
      </c>
      <c r="Z28" s="11"/>
      <c r="AA28" s="11"/>
      <c r="AB28" s="11"/>
      <c r="AC28" s="11"/>
    </row>
    <row r="30" spans="1:29" x14ac:dyDescent="0.25">
      <c r="S30" s="104" t="s">
        <v>28</v>
      </c>
      <c r="T30" s="104"/>
      <c r="U30" s="104"/>
      <c r="V30" s="104"/>
      <c r="W30" s="104"/>
    </row>
    <row r="31" spans="1:29" x14ac:dyDescent="0.25">
      <c r="S31" s="105" t="s">
        <v>29</v>
      </c>
      <c r="T31" s="105"/>
      <c r="U31" s="105"/>
      <c r="V31" s="105"/>
      <c r="W31" s="105"/>
    </row>
    <row r="32" spans="1:29" x14ac:dyDescent="0.25">
      <c r="S32" s="105" t="s">
        <v>178</v>
      </c>
      <c r="T32" s="105"/>
      <c r="U32" s="105"/>
      <c r="V32" s="105"/>
      <c r="W32" s="105"/>
    </row>
    <row r="33" spans="19:23" x14ac:dyDescent="0.25">
      <c r="S33" s="105" t="s">
        <v>179</v>
      </c>
      <c r="T33" s="104"/>
      <c r="U33" s="104"/>
      <c r="V33" s="104"/>
      <c r="W33" s="104"/>
    </row>
    <row r="34" spans="19:23" x14ac:dyDescent="0.25">
      <c r="S34" s="105" t="s">
        <v>180</v>
      </c>
      <c r="T34" s="104"/>
      <c r="U34" s="104"/>
      <c r="V34" s="104"/>
      <c r="W34" s="104"/>
    </row>
    <row r="35" spans="19:23" x14ac:dyDescent="0.25">
      <c r="S35" s="104"/>
      <c r="T35" s="104"/>
      <c r="U35" s="104"/>
      <c r="V35" s="104"/>
      <c r="W35" s="104"/>
    </row>
    <row r="37" spans="19:23" x14ac:dyDescent="0.25">
      <c r="S37" s="3" t="s">
        <v>181</v>
      </c>
      <c r="T37" s="3"/>
      <c r="U37" s="3"/>
      <c r="V37" s="3"/>
      <c r="W37" s="3"/>
    </row>
    <row r="38" spans="19:23" x14ac:dyDescent="0.25">
      <c r="S38" s="3" t="s">
        <v>182</v>
      </c>
      <c r="T38" s="3"/>
      <c r="U38" s="3"/>
      <c r="V38" s="3"/>
      <c r="W38" s="3"/>
    </row>
  </sheetData>
  <pageMargins left="0.51181102362204722" right="0.31496062992125984" top="0.74803149606299213" bottom="0.74803149606299213" header="0.31496062992125984" footer="0.31496062992125984"/>
  <pageSetup paperSize="8" scale="8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C134"/>
  <sheetViews>
    <sheetView view="pageBreakPreview" topLeftCell="A55" zoomScaleNormal="100" zoomScaleSheetLayoutView="100" workbookViewId="0">
      <selection activeCell="A63" sqref="A63:Z63"/>
    </sheetView>
  </sheetViews>
  <sheetFormatPr defaultRowHeight="15" outlineLevelRow="1" outlineLevelCol="1" x14ac:dyDescent="0.25"/>
  <cols>
    <col min="1" max="1" width="4.7109375" customWidth="1"/>
    <col min="2" max="2" width="7.28515625" customWidth="1"/>
    <col min="3" max="4" width="8.85546875" customWidth="1"/>
    <col min="5" max="8" width="8.28515625" customWidth="1"/>
    <col min="9" max="9" width="2.42578125" customWidth="1"/>
    <col min="10" max="10" width="3.42578125" customWidth="1" outlineLevel="1"/>
    <col min="11" max="11" width="7.28515625" customWidth="1" outlineLevel="1"/>
    <col min="12" max="13" width="8.85546875" customWidth="1" outlineLevel="1"/>
    <col min="14" max="17" width="8.28515625" customWidth="1" outlineLevel="1"/>
    <col min="18" max="18" width="3.140625" style="29" customWidth="1"/>
    <col min="19" max="19" width="3.7109375" style="1" customWidth="1"/>
    <col min="20" max="20" width="9.42578125" style="1" customWidth="1"/>
    <col min="21" max="21" width="3" customWidth="1"/>
    <col min="22" max="22" width="13" customWidth="1"/>
    <col min="23" max="23" width="5.28515625" customWidth="1"/>
    <col min="24" max="24" width="3.140625" customWidth="1"/>
    <col min="25" max="25" width="38.140625" customWidth="1"/>
    <col min="26" max="26" width="9.140625" style="72"/>
  </cols>
  <sheetData>
    <row r="1" spans="1:26" x14ac:dyDescent="0.25">
      <c r="A1" s="1" t="s">
        <v>129</v>
      </c>
      <c r="C1" s="1"/>
      <c r="G1" s="1" t="s">
        <v>425</v>
      </c>
      <c r="H1" s="22">
        <v>2.5000000000000001E-3</v>
      </c>
      <c r="K1" s="1" t="s">
        <v>426</v>
      </c>
      <c r="M1" s="22">
        <v>3.0000000000000001E-3</v>
      </c>
      <c r="W1" s="1" t="s">
        <v>236</v>
      </c>
    </row>
    <row r="2" spans="1:26" ht="6.75" customHeight="1" thickBot="1" x14ac:dyDescent="0.3"/>
    <row r="3" spans="1:26" ht="15.75" outlineLevel="1" x14ac:dyDescent="0.25">
      <c r="A3" s="373" t="s">
        <v>183</v>
      </c>
      <c r="B3" s="374"/>
      <c r="C3" s="374"/>
      <c r="D3" s="374"/>
      <c r="E3" s="374"/>
      <c r="F3" s="374"/>
      <c r="G3" s="374"/>
      <c r="H3" s="374"/>
      <c r="I3" s="374"/>
      <c r="J3" s="374"/>
      <c r="K3" s="374"/>
      <c r="L3" s="374"/>
      <c r="M3" s="374"/>
      <c r="N3" s="374"/>
      <c r="O3" s="374"/>
      <c r="P3" s="374"/>
      <c r="Q3" s="374"/>
      <c r="R3" s="374"/>
      <c r="S3" s="374"/>
      <c r="T3" s="374"/>
      <c r="U3" s="374"/>
      <c r="V3" s="374"/>
      <c r="W3" s="374"/>
      <c r="X3" s="374"/>
      <c r="Y3" s="374"/>
      <c r="Z3" s="375"/>
    </row>
    <row r="4" spans="1:26" outlineLevel="1" x14ac:dyDescent="0.25">
      <c r="A4" s="381" t="s">
        <v>427</v>
      </c>
      <c r="B4" s="382"/>
      <c r="C4" s="382"/>
      <c r="D4" s="382"/>
      <c r="E4" s="382"/>
      <c r="F4" s="382"/>
      <c r="G4" s="382"/>
      <c r="H4" s="382"/>
      <c r="I4" s="382"/>
      <c r="J4" s="382"/>
      <c r="K4" s="382"/>
      <c r="L4" s="382"/>
      <c r="M4" s="382"/>
      <c r="N4" s="382"/>
      <c r="O4" s="382"/>
      <c r="P4" s="382"/>
      <c r="Q4" s="382"/>
      <c r="R4" s="382"/>
      <c r="S4" s="382"/>
      <c r="T4" s="382"/>
      <c r="U4" s="382"/>
      <c r="V4" s="382"/>
      <c r="W4" s="382"/>
      <c r="X4" s="382"/>
      <c r="Y4" s="382"/>
      <c r="Z4" s="383"/>
    </row>
    <row r="5" spans="1:26" outlineLevel="1" x14ac:dyDescent="0.25">
      <c r="A5" s="243" t="s">
        <v>428</v>
      </c>
      <c r="B5" s="244"/>
      <c r="C5" s="244"/>
      <c r="D5" s="244"/>
      <c r="E5" s="244"/>
      <c r="F5" s="244"/>
      <c r="G5" s="244"/>
      <c r="H5" s="244"/>
      <c r="I5" s="244"/>
      <c r="J5" s="244"/>
      <c r="K5" s="244"/>
      <c r="L5" s="244"/>
      <c r="M5" s="244"/>
      <c r="N5" s="244"/>
      <c r="O5" s="244"/>
      <c r="P5" s="244"/>
      <c r="Q5" s="244"/>
      <c r="R5" s="244"/>
      <c r="S5" s="244"/>
      <c r="T5" s="244"/>
      <c r="U5" s="244"/>
      <c r="V5" s="244"/>
      <c r="W5" s="244"/>
      <c r="X5" s="244"/>
      <c r="Y5" s="244"/>
      <c r="Z5" s="245"/>
    </row>
    <row r="6" spans="1:26" ht="15.75" outlineLevel="1" thickBot="1" x14ac:dyDescent="0.3">
      <c r="A6" s="384" t="s">
        <v>429</v>
      </c>
      <c r="B6" s="385"/>
      <c r="C6" s="385"/>
      <c r="D6" s="385"/>
      <c r="E6" s="385"/>
      <c r="F6" s="385"/>
      <c r="G6" s="385"/>
      <c r="H6" s="385"/>
      <c r="I6" s="385"/>
      <c r="J6" s="385"/>
      <c r="K6" s="385"/>
      <c r="L6" s="385"/>
      <c r="M6" s="385"/>
      <c r="N6" s="385"/>
      <c r="O6" s="385"/>
      <c r="P6" s="385"/>
      <c r="Q6" s="385"/>
      <c r="R6" s="385"/>
      <c r="S6" s="385"/>
      <c r="T6" s="385"/>
      <c r="U6" s="385"/>
      <c r="V6" s="385"/>
      <c r="W6" s="385"/>
      <c r="X6" s="385"/>
      <c r="Y6" s="385"/>
      <c r="Z6" s="386"/>
    </row>
    <row r="7" spans="1:26" ht="11.25" customHeight="1" thickBot="1" x14ac:dyDescent="0.3"/>
    <row r="8" spans="1:26" ht="13.5" customHeight="1" thickBot="1" x14ac:dyDescent="0.3">
      <c r="A8" s="76"/>
      <c r="B8" s="77"/>
      <c r="C8" s="285" t="s">
        <v>165</v>
      </c>
      <c r="D8" s="285"/>
      <c r="E8" s="285"/>
      <c r="F8" s="285"/>
      <c r="G8" s="285"/>
      <c r="H8" s="286"/>
      <c r="I8" s="23"/>
      <c r="J8" s="284" t="s">
        <v>166</v>
      </c>
      <c r="K8" s="285"/>
      <c r="L8" s="285"/>
      <c r="M8" s="285"/>
      <c r="N8" s="285"/>
      <c r="O8" s="285"/>
      <c r="P8" s="285"/>
      <c r="Q8" s="286"/>
      <c r="R8" s="74"/>
      <c r="S8" s="393" t="s">
        <v>185</v>
      </c>
      <c r="T8" s="394"/>
      <c r="U8" s="394"/>
      <c r="V8" s="394"/>
      <c r="W8" s="394"/>
      <c r="X8" s="394"/>
      <c r="Y8" s="394"/>
      <c r="Z8" s="395"/>
    </row>
    <row r="9" spans="1:26" s="1" customFormat="1" ht="48" customHeight="1" thickBot="1" x14ac:dyDescent="0.3">
      <c r="A9" s="24" t="s">
        <v>99</v>
      </c>
      <c r="B9" s="25" t="s">
        <v>98</v>
      </c>
      <c r="C9" s="26" t="s">
        <v>92</v>
      </c>
      <c r="D9" s="26" t="s">
        <v>93</v>
      </c>
      <c r="E9" s="26" t="s">
        <v>97</v>
      </c>
      <c r="F9" s="26" t="s">
        <v>96</v>
      </c>
      <c r="G9" s="26" t="s">
        <v>95</v>
      </c>
      <c r="H9" s="27" t="s">
        <v>104</v>
      </c>
      <c r="I9" s="74"/>
      <c r="J9" s="24" t="s">
        <v>99</v>
      </c>
      <c r="K9" s="25" t="s">
        <v>98</v>
      </c>
      <c r="L9" s="26" t="s">
        <v>92</v>
      </c>
      <c r="M9" s="26" t="s">
        <v>93</v>
      </c>
      <c r="N9" s="26" t="s">
        <v>97</v>
      </c>
      <c r="O9" s="26" t="s">
        <v>96</v>
      </c>
      <c r="P9" s="26" t="s">
        <v>95</v>
      </c>
      <c r="Q9" s="27" t="s">
        <v>104</v>
      </c>
      <c r="R9" s="71"/>
      <c r="S9" s="60"/>
      <c r="T9" s="61" t="s">
        <v>172</v>
      </c>
      <c r="U9" s="61"/>
      <c r="V9" s="61" t="s">
        <v>168</v>
      </c>
      <c r="W9" s="61" t="s">
        <v>169</v>
      </c>
      <c r="X9" s="61" t="s">
        <v>152</v>
      </c>
      <c r="Y9" s="61" t="s">
        <v>170</v>
      </c>
      <c r="Z9" s="103" t="s">
        <v>171</v>
      </c>
    </row>
    <row r="10" spans="1:26" ht="15" customHeight="1" x14ac:dyDescent="0.25">
      <c r="A10" s="28"/>
      <c r="B10" s="33"/>
      <c r="C10" s="31"/>
      <c r="D10" s="31"/>
      <c r="E10" s="31"/>
      <c r="F10" s="30">
        <f>+D48</f>
        <v>147899.92958540836</v>
      </c>
      <c r="G10" s="31"/>
      <c r="H10" s="34">
        <f>+D48</f>
        <v>147899.92958540836</v>
      </c>
      <c r="I10" s="31"/>
      <c r="J10" s="28"/>
      <c r="K10" s="33"/>
      <c r="L10" s="31"/>
      <c r="M10" s="31"/>
      <c r="N10" s="31"/>
      <c r="O10" s="30"/>
      <c r="P10" s="31"/>
      <c r="Q10" s="34"/>
      <c r="S10" s="124" t="s">
        <v>109</v>
      </c>
      <c r="T10" s="126">
        <v>43647</v>
      </c>
      <c r="U10" s="125" t="s">
        <v>0</v>
      </c>
      <c r="V10" s="51">
        <v>5311002</v>
      </c>
      <c r="W10" s="51">
        <v>7321</v>
      </c>
      <c r="X10" s="51"/>
      <c r="Y10" s="51" t="s">
        <v>146</v>
      </c>
      <c r="Z10" s="69">
        <f>+F10</f>
        <v>147899.92958540836</v>
      </c>
    </row>
    <row r="11" spans="1:26" ht="15" customHeight="1" x14ac:dyDescent="0.25">
      <c r="A11" s="28">
        <v>0</v>
      </c>
      <c r="B11" s="33">
        <v>43647</v>
      </c>
      <c r="C11" s="31">
        <f>50000/12</f>
        <v>4166.666666666667</v>
      </c>
      <c r="D11" s="31">
        <f t="shared" ref="D11:D22" si="0">+C11/(1+H$1)^A11</f>
        <v>4166.666666666667</v>
      </c>
      <c r="E11" s="31">
        <f>+F$10/36</f>
        <v>4108.3313773724549</v>
      </c>
      <c r="F11" s="31">
        <f>+F10-E11</f>
        <v>143791.5982080359</v>
      </c>
      <c r="G11" s="31">
        <f t="shared" ref="G11:G22" si="1">+(H10-C11)*H$1</f>
        <v>359.33315729685427</v>
      </c>
      <c r="H11" s="32">
        <f>+H10-C11+G11</f>
        <v>144092.59607603855</v>
      </c>
      <c r="I11" s="31"/>
      <c r="J11" s="28"/>
      <c r="K11" s="33"/>
      <c r="L11" s="31"/>
      <c r="M11" s="31"/>
      <c r="N11" s="31"/>
      <c r="O11" s="31"/>
      <c r="P11" s="31"/>
      <c r="Q11" s="32"/>
      <c r="S11" s="115"/>
      <c r="T11" s="116"/>
      <c r="U11" s="116" t="s">
        <v>1</v>
      </c>
      <c r="V11" s="40">
        <v>3240102</v>
      </c>
      <c r="W11" s="40"/>
      <c r="X11" s="40"/>
      <c r="Y11" s="40" t="s">
        <v>270</v>
      </c>
      <c r="Z11" s="70">
        <f>H10</f>
        <v>147899.92958540836</v>
      </c>
    </row>
    <row r="12" spans="1:26" ht="15" customHeight="1" x14ac:dyDescent="0.25">
      <c r="A12" s="28">
        <v>1</v>
      </c>
      <c r="B12" s="33">
        <v>43678</v>
      </c>
      <c r="C12" s="31">
        <f t="shared" ref="C12:C22" si="2">50000/12</f>
        <v>4166.666666666667</v>
      </c>
      <c r="D12" s="31">
        <f t="shared" si="0"/>
        <v>4156.2759767248554</v>
      </c>
      <c r="E12" s="31">
        <f t="shared" ref="E12:E46" si="3">+F$10/36</f>
        <v>4108.3313773724549</v>
      </c>
      <c r="F12" s="31">
        <f t="shared" ref="F12:F34" si="4">+F11-E12</f>
        <v>139683.26683066343</v>
      </c>
      <c r="G12" s="31">
        <f t="shared" si="1"/>
        <v>349.81482352342977</v>
      </c>
      <c r="H12" s="32">
        <f t="shared" ref="H12:H35" si="5">+H11-C12+G12</f>
        <v>140275.74423289532</v>
      </c>
      <c r="I12" s="31"/>
      <c r="J12" s="28"/>
      <c r="K12" s="33"/>
      <c r="L12" s="31"/>
      <c r="M12" s="31"/>
      <c r="N12" s="31"/>
      <c r="O12" s="31"/>
      <c r="P12" s="31"/>
      <c r="Q12" s="32"/>
      <c r="S12" s="115" t="s">
        <v>194</v>
      </c>
      <c r="T12" s="116"/>
      <c r="U12" s="116"/>
      <c r="V12" s="40"/>
      <c r="W12" s="40"/>
      <c r="X12" s="40"/>
      <c r="Y12" s="40"/>
      <c r="Z12" s="70"/>
    </row>
    <row r="13" spans="1:26" ht="15" customHeight="1" x14ac:dyDescent="0.25">
      <c r="A13" s="28">
        <v>2</v>
      </c>
      <c r="B13" s="33">
        <v>43709</v>
      </c>
      <c r="C13" s="31">
        <f t="shared" si="2"/>
        <v>4166.666666666667</v>
      </c>
      <c r="D13" s="31">
        <f t="shared" si="0"/>
        <v>4145.9111987280348</v>
      </c>
      <c r="E13" s="31">
        <f t="shared" si="3"/>
        <v>4108.3313773724549</v>
      </c>
      <c r="F13" s="31">
        <f t="shared" si="4"/>
        <v>135574.93545329096</v>
      </c>
      <c r="G13" s="31">
        <f t="shared" si="1"/>
        <v>340.27269391557167</v>
      </c>
      <c r="H13" s="32">
        <f t="shared" si="5"/>
        <v>136449.35026014425</v>
      </c>
      <c r="I13" s="31"/>
      <c r="J13" s="28"/>
      <c r="K13" s="33"/>
      <c r="L13" s="31"/>
      <c r="M13" s="31"/>
      <c r="N13" s="31"/>
      <c r="O13" s="31"/>
      <c r="P13" s="31"/>
      <c r="Q13" s="32"/>
      <c r="S13" s="115"/>
      <c r="T13" s="116"/>
      <c r="U13" s="116"/>
      <c r="V13" s="40"/>
      <c r="W13" s="40"/>
      <c r="X13" s="40"/>
      <c r="Y13" s="40"/>
      <c r="Z13" s="70"/>
    </row>
    <row r="14" spans="1:26" ht="15" customHeight="1" x14ac:dyDescent="0.25">
      <c r="A14" s="28">
        <v>3</v>
      </c>
      <c r="B14" s="33">
        <v>43739</v>
      </c>
      <c r="C14" s="31">
        <f t="shared" si="2"/>
        <v>4166.666666666667</v>
      </c>
      <c r="D14" s="31">
        <f t="shared" si="0"/>
        <v>4135.5722680578911</v>
      </c>
      <c r="E14" s="31">
        <f t="shared" si="3"/>
        <v>4108.3313773724549</v>
      </c>
      <c r="F14" s="31">
        <f t="shared" si="4"/>
        <v>131466.6040759185</v>
      </c>
      <c r="G14" s="31">
        <f t="shared" si="1"/>
        <v>330.706708983694</v>
      </c>
      <c r="H14" s="32">
        <f t="shared" si="5"/>
        <v>132613.39030246128</v>
      </c>
      <c r="I14" s="31"/>
      <c r="J14" s="28"/>
      <c r="K14" s="33"/>
      <c r="L14" s="31"/>
      <c r="M14" s="31"/>
      <c r="N14" s="31"/>
      <c r="O14" s="31"/>
      <c r="P14" s="31"/>
      <c r="Q14" s="32"/>
      <c r="S14" s="115" t="s">
        <v>110</v>
      </c>
      <c r="T14" s="116" t="s">
        <v>32</v>
      </c>
      <c r="U14" s="116" t="s">
        <v>0</v>
      </c>
      <c r="V14" s="40">
        <v>2241002</v>
      </c>
      <c r="W14" s="40"/>
      <c r="X14" s="40"/>
      <c r="Y14" s="40" t="s">
        <v>251</v>
      </c>
      <c r="Z14" s="70">
        <f>SUM(E11:E22)</f>
        <v>49299.976528469444</v>
      </c>
    </row>
    <row r="15" spans="1:26" ht="15" customHeight="1" x14ac:dyDescent="0.25">
      <c r="A15" s="28">
        <v>4</v>
      </c>
      <c r="B15" s="33">
        <v>43770</v>
      </c>
      <c r="C15" s="31">
        <f t="shared" si="2"/>
        <v>4166.666666666667</v>
      </c>
      <c r="D15" s="31">
        <f t="shared" si="0"/>
        <v>4125.2591202572476</v>
      </c>
      <c r="E15" s="31">
        <f t="shared" si="3"/>
        <v>4108.3313773724549</v>
      </c>
      <c r="F15" s="31">
        <f t="shared" si="4"/>
        <v>127358.27269854605</v>
      </c>
      <c r="G15" s="31">
        <f t="shared" si="1"/>
        <v>321.11680908948654</v>
      </c>
      <c r="H15" s="32">
        <f t="shared" si="5"/>
        <v>128767.8404448841</v>
      </c>
      <c r="I15" s="31"/>
      <c r="J15" s="28"/>
      <c r="K15" s="33"/>
      <c r="L15" s="31"/>
      <c r="M15" s="31"/>
      <c r="N15" s="31"/>
      <c r="O15" s="31"/>
      <c r="P15" s="31"/>
      <c r="Q15" s="32"/>
      <c r="S15" s="115"/>
      <c r="T15" s="116"/>
      <c r="U15" s="116" t="s">
        <v>1</v>
      </c>
      <c r="V15" s="40">
        <v>5311002</v>
      </c>
      <c r="W15" s="40">
        <v>7353</v>
      </c>
      <c r="X15" s="40"/>
      <c r="Y15" s="40" t="s">
        <v>105</v>
      </c>
      <c r="Z15" s="70">
        <f>Z14</f>
        <v>49299.976528469444</v>
      </c>
    </row>
    <row r="16" spans="1:26" ht="15" customHeight="1" x14ac:dyDescent="0.25">
      <c r="A16" s="28">
        <v>5</v>
      </c>
      <c r="B16" s="33">
        <v>43800</v>
      </c>
      <c r="C16" s="31">
        <f t="shared" si="2"/>
        <v>4166.666666666667</v>
      </c>
      <c r="D16" s="31">
        <f t="shared" si="0"/>
        <v>4114.9716910296738</v>
      </c>
      <c r="E16" s="31">
        <f t="shared" si="3"/>
        <v>4108.3313773724549</v>
      </c>
      <c r="F16" s="31">
        <f t="shared" si="4"/>
        <v>123249.9413211736</v>
      </c>
      <c r="G16" s="31">
        <f t="shared" si="1"/>
        <v>311.50293444554359</v>
      </c>
      <c r="H16" s="32">
        <f t="shared" si="5"/>
        <v>124912.67671266297</v>
      </c>
      <c r="I16" s="31"/>
      <c r="J16" s="28"/>
      <c r="K16" s="33"/>
      <c r="L16" s="31"/>
      <c r="M16" s="31"/>
      <c r="N16" s="31"/>
      <c r="O16" s="31"/>
      <c r="P16" s="31"/>
      <c r="Q16" s="32"/>
      <c r="S16" s="115" t="s">
        <v>187</v>
      </c>
      <c r="T16" s="116"/>
      <c r="U16" s="116"/>
      <c r="V16" s="40"/>
      <c r="W16" s="40"/>
      <c r="X16" s="40"/>
      <c r="Y16" s="40"/>
      <c r="Z16" s="70"/>
    </row>
    <row r="17" spans="1:29" ht="15" customHeight="1" x14ac:dyDescent="0.25">
      <c r="A17" s="28">
        <v>6</v>
      </c>
      <c r="B17" s="33">
        <v>43831</v>
      </c>
      <c r="C17" s="31">
        <f t="shared" si="2"/>
        <v>4166.666666666667</v>
      </c>
      <c r="D17" s="31">
        <f t="shared" si="0"/>
        <v>4104.7099162390768</v>
      </c>
      <c r="E17" s="31">
        <f t="shared" si="3"/>
        <v>4108.3313773724549</v>
      </c>
      <c r="F17" s="31">
        <f t="shared" si="4"/>
        <v>119141.60994380114</v>
      </c>
      <c r="G17" s="31">
        <f t="shared" si="1"/>
        <v>301.86502511499077</v>
      </c>
      <c r="H17" s="32">
        <f t="shared" si="5"/>
        <v>121047.8750711113</v>
      </c>
      <c r="I17" s="31"/>
      <c r="J17" s="28"/>
      <c r="K17" s="33"/>
      <c r="L17" s="31"/>
      <c r="M17" s="31"/>
      <c r="N17" s="31"/>
      <c r="O17" s="31"/>
      <c r="P17" s="31"/>
      <c r="Q17" s="32"/>
      <c r="S17" s="115"/>
      <c r="T17" s="116"/>
      <c r="U17" s="116"/>
      <c r="V17" s="40"/>
      <c r="W17" s="40"/>
      <c r="X17" s="40"/>
      <c r="Y17" s="40"/>
      <c r="Z17" s="70"/>
    </row>
    <row r="18" spans="1:29" ht="15" customHeight="1" x14ac:dyDescent="0.25">
      <c r="A18" s="28">
        <v>7</v>
      </c>
      <c r="B18" s="33">
        <v>43862</v>
      </c>
      <c r="C18" s="31">
        <f t="shared" si="2"/>
        <v>4166.666666666667</v>
      </c>
      <c r="D18" s="31">
        <f t="shared" si="0"/>
        <v>4094.4737319093038</v>
      </c>
      <c r="E18" s="31">
        <f t="shared" si="3"/>
        <v>4108.3313773724549</v>
      </c>
      <c r="F18" s="31">
        <f t="shared" si="4"/>
        <v>115033.27856642869</v>
      </c>
      <c r="G18" s="31">
        <f t="shared" si="1"/>
        <v>292.20302101111156</v>
      </c>
      <c r="H18" s="32">
        <f t="shared" si="5"/>
        <v>117173.41142545574</v>
      </c>
      <c r="I18" s="31"/>
      <c r="J18" s="28"/>
      <c r="K18" s="33"/>
      <c r="L18" s="31"/>
      <c r="M18" s="31"/>
      <c r="N18" s="31"/>
      <c r="O18" s="31"/>
      <c r="P18" s="31"/>
      <c r="Q18" s="32"/>
      <c r="S18" s="115" t="s">
        <v>111</v>
      </c>
      <c r="T18" s="116" t="s">
        <v>32</v>
      </c>
      <c r="U18" s="116" t="s">
        <v>0</v>
      </c>
      <c r="V18" s="40">
        <v>3240106</v>
      </c>
      <c r="W18" s="40"/>
      <c r="X18" s="40"/>
      <c r="Y18" s="40" t="s">
        <v>271</v>
      </c>
      <c r="Z18" s="70">
        <f>Z20-Z19</f>
        <v>46321.476790537927</v>
      </c>
    </row>
    <row r="19" spans="1:29" ht="15" customHeight="1" x14ac:dyDescent="0.25">
      <c r="A19" s="28">
        <v>8</v>
      </c>
      <c r="B19" s="33">
        <v>43891</v>
      </c>
      <c r="C19" s="31">
        <f t="shared" si="2"/>
        <v>4166.666666666667</v>
      </c>
      <c r="D19" s="31">
        <f t="shared" si="0"/>
        <v>4084.2630742237438</v>
      </c>
      <c r="E19" s="31">
        <f t="shared" si="3"/>
        <v>4108.3313773724549</v>
      </c>
      <c r="F19" s="31">
        <f t="shared" si="4"/>
        <v>110924.94718905624</v>
      </c>
      <c r="G19" s="31">
        <f t="shared" si="1"/>
        <v>282.51686189697267</v>
      </c>
      <c r="H19" s="32">
        <f t="shared" si="5"/>
        <v>113289.26162068604</v>
      </c>
      <c r="I19" s="31"/>
      <c r="J19" s="28"/>
      <c r="K19" s="33"/>
      <c r="L19" s="31"/>
      <c r="M19" s="31"/>
      <c r="N19" s="31"/>
      <c r="O19" s="31"/>
      <c r="P19" s="31"/>
      <c r="Q19" s="32"/>
      <c r="S19" s="115"/>
      <c r="T19" s="116"/>
      <c r="U19" s="116" t="s">
        <v>0</v>
      </c>
      <c r="V19" s="40">
        <v>2422020</v>
      </c>
      <c r="W19" s="40"/>
      <c r="X19" s="40"/>
      <c r="Y19" s="40" t="s">
        <v>161</v>
      </c>
      <c r="Z19" s="70">
        <f>SUM(G11:G22)</f>
        <v>3678.5232094620674</v>
      </c>
    </row>
    <row r="20" spans="1:29" ht="15" customHeight="1" x14ac:dyDescent="0.25">
      <c r="A20" s="28">
        <v>9</v>
      </c>
      <c r="B20" s="33">
        <v>43922</v>
      </c>
      <c r="C20" s="31">
        <f t="shared" si="2"/>
        <v>4166.666666666667</v>
      </c>
      <c r="D20" s="31">
        <f t="shared" si="0"/>
        <v>4074.0778795249316</v>
      </c>
      <c r="E20" s="31">
        <f t="shared" si="3"/>
        <v>4108.3313773724549</v>
      </c>
      <c r="F20" s="31">
        <f t="shared" si="4"/>
        <v>106816.61581168379</v>
      </c>
      <c r="G20" s="31">
        <f t="shared" si="1"/>
        <v>272.8064873850484</v>
      </c>
      <c r="H20" s="32">
        <f t="shared" si="5"/>
        <v>109395.40144140442</v>
      </c>
      <c r="I20" s="31"/>
      <c r="J20" s="28"/>
      <c r="K20" s="33"/>
      <c r="L20" s="31"/>
      <c r="M20" s="31"/>
      <c r="N20" s="31"/>
      <c r="O20" s="31"/>
      <c r="P20" s="31"/>
      <c r="Q20" s="32"/>
      <c r="S20" s="115"/>
      <c r="T20" s="116"/>
      <c r="U20" s="116" t="s">
        <v>1</v>
      </c>
      <c r="V20" s="40"/>
      <c r="W20" s="40"/>
      <c r="X20" s="40"/>
      <c r="Y20" s="40" t="s">
        <v>31</v>
      </c>
      <c r="Z20" s="70">
        <f>SUM(C11:C22)</f>
        <v>49999.999999999993</v>
      </c>
    </row>
    <row r="21" spans="1:29" ht="15" customHeight="1" x14ac:dyDescent="0.25">
      <c r="A21" s="28">
        <v>10</v>
      </c>
      <c r="B21" s="33">
        <v>43952</v>
      </c>
      <c r="C21" s="31">
        <f t="shared" si="2"/>
        <v>4166.666666666667</v>
      </c>
      <c r="D21" s="31">
        <f t="shared" si="0"/>
        <v>4063.9180843141467</v>
      </c>
      <c r="E21" s="31">
        <f t="shared" si="3"/>
        <v>4108.3313773724549</v>
      </c>
      <c r="F21" s="31">
        <f t="shared" si="4"/>
        <v>102708.28443431134</v>
      </c>
      <c r="G21" s="31">
        <f t="shared" si="1"/>
        <v>263.07183693684436</v>
      </c>
      <c r="H21" s="32">
        <f t="shared" si="5"/>
        <v>105491.80661167459</v>
      </c>
      <c r="I21" s="31"/>
      <c r="J21" s="28"/>
      <c r="K21" s="33"/>
      <c r="L21" s="31"/>
      <c r="M21" s="31"/>
      <c r="N21" s="31"/>
      <c r="O21" s="31"/>
      <c r="P21" s="31"/>
      <c r="Q21" s="32"/>
      <c r="S21" s="115" t="s">
        <v>117</v>
      </c>
      <c r="T21" s="116"/>
      <c r="U21" s="116"/>
      <c r="V21" s="40"/>
      <c r="W21" s="40"/>
      <c r="X21" s="40"/>
      <c r="Y21" s="40"/>
      <c r="Z21" s="70"/>
    </row>
    <row r="22" spans="1:29" ht="15" customHeight="1" thickBot="1" x14ac:dyDescent="0.3">
      <c r="A22" s="28">
        <v>11</v>
      </c>
      <c r="B22" s="33">
        <v>43983</v>
      </c>
      <c r="C22" s="31">
        <f t="shared" si="2"/>
        <v>4166.666666666667</v>
      </c>
      <c r="D22" s="31">
        <f t="shared" si="0"/>
        <v>4053.7836252510201</v>
      </c>
      <c r="E22" s="31">
        <f t="shared" si="3"/>
        <v>4108.3313773724549</v>
      </c>
      <c r="F22" s="237">
        <f t="shared" si="4"/>
        <v>98599.953056938888</v>
      </c>
      <c r="G22" s="31">
        <f t="shared" si="1"/>
        <v>253.31284986251981</v>
      </c>
      <c r="H22" s="238">
        <f t="shared" si="5"/>
        <v>101578.45279487043</v>
      </c>
      <c r="I22" s="31"/>
      <c r="J22" s="28"/>
      <c r="Q22" s="113"/>
      <c r="S22" s="115"/>
      <c r="T22" s="116"/>
      <c r="U22" s="116"/>
      <c r="V22" s="40"/>
      <c r="W22" s="40"/>
      <c r="X22" s="40"/>
      <c r="Y22" s="40"/>
      <c r="Z22" s="70"/>
    </row>
    <row r="23" spans="1:29" ht="15" customHeight="1" x14ac:dyDescent="0.25">
      <c r="A23" s="28"/>
      <c r="B23" s="33"/>
      <c r="C23" s="31"/>
      <c r="D23" s="31"/>
      <c r="E23" s="31"/>
      <c r="F23" s="31"/>
      <c r="G23" s="31"/>
      <c r="H23" s="32"/>
      <c r="I23" s="31"/>
      <c r="J23" s="28"/>
      <c r="K23" s="29"/>
      <c r="L23" s="29"/>
      <c r="M23" s="29"/>
      <c r="N23" s="29"/>
      <c r="O23" s="235">
        <f>+F22+Z23</f>
        <v>148039.42771130713</v>
      </c>
      <c r="P23" s="29"/>
      <c r="Q23" s="236">
        <f>+M60</f>
        <v>151017.92744923866</v>
      </c>
      <c r="S23" s="124" t="s">
        <v>114</v>
      </c>
      <c r="T23" s="138">
        <v>44013</v>
      </c>
      <c r="U23" s="125" t="s">
        <v>0</v>
      </c>
      <c r="V23" s="51">
        <v>5311002</v>
      </c>
      <c r="W23" s="51">
        <v>7371</v>
      </c>
      <c r="X23" s="51"/>
      <c r="Y23" s="51" t="s">
        <v>146</v>
      </c>
      <c r="Z23" s="69">
        <f>+Q23-H22</f>
        <v>49439.474654368227</v>
      </c>
      <c r="AC23" s="72"/>
    </row>
    <row r="24" spans="1:29" ht="15" customHeight="1" x14ac:dyDescent="0.25">
      <c r="A24" s="28">
        <v>12</v>
      </c>
      <c r="B24" s="33">
        <v>44013</v>
      </c>
      <c r="C24" s="31">
        <f>(50000*1.03^1)/12</f>
        <v>4291.666666666667</v>
      </c>
      <c r="D24" s="31">
        <f t="shared" ref="D24:D47" si="6">+C24/(1+H$1)^A24</f>
        <v>4164.9846723277306</v>
      </c>
      <c r="E24" s="31">
        <f t="shared" si="3"/>
        <v>4108.3313773724549</v>
      </c>
      <c r="F24" s="31">
        <f>+F22-E24</f>
        <v>94491.621679566437</v>
      </c>
      <c r="G24" s="31">
        <f>+(H22-C24)*H$1</f>
        <v>243.21696532050942</v>
      </c>
      <c r="H24" s="32">
        <f>+H22-C24+G24</f>
        <v>97530.003093524268</v>
      </c>
      <c r="I24" s="31"/>
      <c r="J24" s="28">
        <v>0</v>
      </c>
      <c r="K24" s="33">
        <v>44013</v>
      </c>
      <c r="L24" s="31">
        <f>+C24</f>
        <v>4291.666666666667</v>
      </c>
      <c r="M24" s="31">
        <f>+L24/(1+M$1)^J24</f>
        <v>4291.666666666667</v>
      </c>
      <c r="N24" s="31">
        <f>+O$23/36</f>
        <v>4112.2063253140868</v>
      </c>
      <c r="O24" s="31">
        <f t="shared" ref="O24:O46" si="7">+O23-N24</f>
        <v>143927.22138599303</v>
      </c>
      <c r="P24" s="31">
        <f>+(Q23-L24)*M$1</f>
        <v>440.17878234771604</v>
      </c>
      <c r="Q24" s="32">
        <f t="shared" ref="Q24:Q47" si="8">+Q23-L24+P24</f>
        <v>147166.43956491971</v>
      </c>
      <c r="S24" s="115"/>
      <c r="T24" s="116"/>
      <c r="U24" s="116" t="s">
        <v>1</v>
      </c>
      <c r="V24" s="40">
        <v>3240102</v>
      </c>
      <c r="W24" s="40"/>
      <c r="X24" s="40"/>
      <c r="Y24" s="40" t="s">
        <v>270</v>
      </c>
      <c r="Z24" s="70">
        <f>Z23</f>
        <v>49439.474654368227</v>
      </c>
    </row>
    <row r="25" spans="1:29" ht="15" customHeight="1" x14ac:dyDescent="0.25">
      <c r="A25" s="28">
        <v>13</v>
      </c>
      <c r="B25" s="33">
        <v>44044</v>
      </c>
      <c r="C25" s="31">
        <f t="shared" ref="C25:C35" si="9">(50000*1.03^1)/12</f>
        <v>4291.666666666667</v>
      </c>
      <c r="D25" s="31">
        <f t="shared" si="6"/>
        <v>4154.5981768855163</v>
      </c>
      <c r="E25" s="31">
        <f t="shared" si="3"/>
        <v>4108.3313773724549</v>
      </c>
      <c r="F25" s="31">
        <f t="shared" si="4"/>
        <v>90383.290302193986</v>
      </c>
      <c r="G25" s="31">
        <f t="shared" ref="G25:G47" si="10">+(H24-C25)*H$1</f>
        <v>233.09584106714399</v>
      </c>
      <c r="H25" s="32">
        <f t="shared" si="5"/>
        <v>93471.432267924742</v>
      </c>
      <c r="I25" s="31"/>
      <c r="J25" s="28">
        <v>1</v>
      </c>
      <c r="K25" s="33">
        <v>44044</v>
      </c>
      <c r="L25" s="31">
        <f t="shared" ref="L25:L47" si="11">+C25</f>
        <v>4291.666666666667</v>
      </c>
      <c r="M25" s="31">
        <f t="shared" ref="M25:M58" si="12">+L25/(1+M$1)^J25</f>
        <v>4278.8301761382527</v>
      </c>
      <c r="N25" s="31">
        <f t="shared" ref="N25:N59" si="13">+O$23/36</f>
        <v>4112.2063253140868</v>
      </c>
      <c r="O25" s="31">
        <f t="shared" si="7"/>
        <v>139815.01506067894</v>
      </c>
      <c r="P25" s="31">
        <f t="shared" ref="P25:P59" si="14">+(Q24-L25)*M$1</f>
        <v>428.62431869475915</v>
      </c>
      <c r="Q25" s="32">
        <f t="shared" si="8"/>
        <v>143303.39721694781</v>
      </c>
      <c r="S25" s="115" t="s">
        <v>206</v>
      </c>
      <c r="T25" s="116"/>
      <c r="U25" s="116"/>
      <c r="V25" s="40"/>
      <c r="W25" s="40"/>
      <c r="X25" s="40"/>
      <c r="Y25" s="40"/>
      <c r="Z25" s="70"/>
    </row>
    <row r="26" spans="1:29" ht="15" customHeight="1" x14ac:dyDescent="0.25">
      <c r="A26" s="28">
        <v>14</v>
      </c>
      <c r="B26" s="33">
        <v>44075</v>
      </c>
      <c r="C26" s="31">
        <f t="shared" si="9"/>
        <v>4291.666666666667</v>
      </c>
      <c r="D26" s="31">
        <f t="shared" si="6"/>
        <v>4144.2375829281973</v>
      </c>
      <c r="E26" s="31">
        <f t="shared" si="3"/>
        <v>4108.3313773724549</v>
      </c>
      <c r="F26" s="31">
        <f t="shared" si="4"/>
        <v>86274.958924821534</v>
      </c>
      <c r="G26" s="31">
        <f t="shared" si="10"/>
        <v>222.94941400314519</v>
      </c>
      <c r="H26" s="32">
        <f t="shared" si="5"/>
        <v>89402.715015261216</v>
      </c>
      <c r="I26" s="31"/>
      <c r="J26" s="28">
        <v>2</v>
      </c>
      <c r="K26" s="33">
        <v>44075</v>
      </c>
      <c r="L26" s="31">
        <f t="shared" si="11"/>
        <v>4291.666666666667</v>
      </c>
      <c r="M26" s="31">
        <f t="shared" si="12"/>
        <v>4266.0320798985576</v>
      </c>
      <c r="N26" s="31">
        <f t="shared" si="13"/>
        <v>4112.2063253140868</v>
      </c>
      <c r="O26" s="31">
        <f t="shared" si="7"/>
        <v>135702.80873536484</v>
      </c>
      <c r="P26" s="31">
        <f t="shared" si="14"/>
        <v>417.03519165084344</v>
      </c>
      <c r="Q26" s="32">
        <f t="shared" si="8"/>
        <v>139428.765741932</v>
      </c>
      <c r="S26" s="115"/>
      <c r="T26" s="116"/>
      <c r="U26" s="116"/>
      <c r="V26" s="40"/>
      <c r="W26" s="40"/>
      <c r="X26" s="40"/>
      <c r="Y26" s="40"/>
      <c r="Z26" s="70"/>
    </row>
    <row r="27" spans="1:29" ht="15" customHeight="1" x14ac:dyDescent="0.25">
      <c r="A27" s="28">
        <v>15</v>
      </c>
      <c r="B27" s="33">
        <v>44105</v>
      </c>
      <c r="C27" s="31">
        <f t="shared" si="9"/>
        <v>4291.666666666667</v>
      </c>
      <c r="D27" s="31">
        <f t="shared" si="6"/>
        <v>4133.902825863539</v>
      </c>
      <c r="E27" s="31">
        <f t="shared" si="3"/>
        <v>4108.3313773724549</v>
      </c>
      <c r="F27" s="31">
        <f t="shared" si="4"/>
        <v>82166.627547449083</v>
      </c>
      <c r="G27" s="31">
        <f t="shared" si="10"/>
        <v>212.77762087148636</v>
      </c>
      <c r="H27" s="32">
        <f t="shared" si="5"/>
        <v>85323.825969466037</v>
      </c>
      <c r="I27" s="31"/>
      <c r="J27" s="28">
        <v>3</v>
      </c>
      <c r="K27" s="33">
        <v>44105</v>
      </c>
      <c r="L27" s="31">
        <f t="shared" si="11"/>
        <v>4291.666666666667</v>
      </c>
      <c r="M27" s="31">
        <f t="shared" si="12"/>
        <v>4253.2722631092302</v>
      </c>
      <c r="N27" s="31">
        <f t="shared" si="13"/>
        <v>4112.2063253140868</v>
      </c>
      <c r="O27" s="31">
        <f t="shared" si="7"/>
        <v>131590.60241005075</v>
      </c>
      <c r="P27" s="31">
        <f t="shared" si="14"/>
        <v>405.41129722579603</v>
      </c>
      <c r="Q27" s="32">
        <f t="shared" si="8"/>
        <v>135542.51037249115</v>
      </c>
      <c r="S27" s="115" t="s">
        <v>116</v>
      </c>
      <c r="T27" s="116" t="s">
        <v>106</v>
      </c>
      <c r="U27" s="116" t="s">
        <v>0</v>
      </c>
      <c r="V27" s="40">
        <v>2241002</v>
      </c>
      <c r="W27" s="40"/>
      <c r="X27" s="40"/>
      <c r="Y27" s="40" t="s">
        <v>251</v>
      </c>
      <c r="Z27" s="70">
        <f>SUM(N24:N35)</f>
        <v>49346.475903769046</v>
      </c>
    </row>
    <row r="28" spans="1:29" ht="15" customHeight="1" x14ac:dyDescent="0.25">
      <c r="A28" s="28">
        <v>16</v>
      </c>
      <c r="B28" s="33">
        <v>44136</v>
      </c>
      <c r="C28" s="31">
        <f t="shared" si="9"/>
        <v>4291.666666666667</v>
      </c>
      <c r="D28" s="31">
        <f t="shared" si="6"/>
        <v>4123.5938412603873</v>
      </c>
      <c r="E28" s="31">
        <f t="shared" si="3"/>
        <v>4108.3313773724549</v>
      </c>
      <c r="F28" s="31">
        <f t="shared" si="4"/>
        <v>78058.296170076632</v>
      </c>
      <c r="G28" s="31">
        <f t="shared" si="10"/>
        <v>202.58039825699842</v>
      </c>
      <c r="H28" s="32">
        <f t="shared" si="5"/>
        <v>81234.739701056358</v>
      </c>
      <c r="I28" s="31"/>
      <c r="J28" s="28">
        <v>4</v>
      </c>
      <c r="K28" s="33">
        <v>44136</v>
      </c>
      <c r="L28" s="31">
        <f t="shared" si="11"/>
        <v>4291.666666666667</v>
      </c>
      <c r="M28" s="31">
        <f t="shared" si="12"/>
        <v>4240.5506112754047</v>
      </c>
      <c r="N28" s="31">
        <f t="shared" si="13"/>
        <v>4112.2063253140868</v>
      </c>
      <c r="O28" s="31">
        <f t="shared" si="7"/>
        <v>127478.39608473667</v>
      </c>
      <c r="P28" s="31">
        <f t="shared" si="14"/>
        <v>393.7525311174735</v>
      </c>
      <c r="Q28" s="32">
        <f t="shared" si="8"/>
        <v>131644.59623694196</v>
      </c>
      <c r="S28" s="115"/>
      <c r="T28" s="116"/>
      <c r="U28" s="116" t="s">
        <v>1</v>
      </c>
      <c r="V28" s="40">
        <v>5311002</v>
      </c>
      <c r="W28" s="40">
        <v>7353</v>
      </c>
      <c r="X28" s="40"/>
      <c r="Y28" s="40" t="s">
        <v>105</v>
      </c>
      <c r="Z28" s="70">
        <f>Z27</f>
        <v>49346.475903769046</v>
      </c>
    </row>
    <row r="29" spans="1:29" ht="15" customHeight="1" x14ac:dyDescent="0.25">
      <c r="A29" s="28">
        <v>17</v>
      </c>
      <c r="B29" s="33">
        <v>44166</v>
      </c>
      <c r="C29" s="31">
        <f t="shared" si="9"/>
        <v>4291.666666666667</v>
      </c>
      <c r="D29" s="31">
        <f t="shared" si="6"/>
        <v>4113.3105648482669</v>
      </c>
      <c r="E29" s="31">
        <f t="shared" si="3"/>
        <v>4108.3313773724549</v>
      </c>
      <c r="F29" s="31">
        <f t="shared" si="4"/>
        <v>73949.964792704181</v>
      </c>
      <c r="G29" s="31">
        <f t="shared" si="10"/>
        <v>192.35768258597423</v>
      </c>
      <c r="H29" s="32">
        <f t="shared" si="5"/>
        <v>77135.430716975665</v>
      </c>
      <c r="I29" s="31"/>
      <c r="J29" s="28">
        <v>5</v>
      </c>
      <c r="K29" s="33">
        <v>44166</v>
      </c>
      <c r="L29" s="31">
        <f t="shared" si="11"/>
        <v>4291.666666666667</v>
      </c>
      <c r="M29" s="31">
        <f t="shared" si="12"/>
        <v>4227.8670102446713</v>
      </c>
      <c r="N29" s="31">
        <f t="shared" si="13"/>
        <v>4112.2063253140868</v>
      </c>
      <c r="O29" s="31">
        <f t="shared" si="7"/>
        <v>123366.18975942259</v>
      </c>
      <c r="P29" s="31">
        <f t="shared" si="14"/>
        <v>382.05878871082587</v>
      </c>
      <c r="Q29" s="32">
        <f t="shared" si="8"/>
        <v>127734.98835898611</v>
      </c>
      <c r="S29" s="115" t="s">
        <v>188</v>
      </c>
      <c r="T29" s="116"/>
      <c r="U29" s="116"/>
      <c r="V29" s="40"/>
      <c r="W29" s="40"/>
      <c r="X29" s="40"/>
      <c r="Y29" s="40"/>
      <c r="Z29" s="70"/>
    </row>
    <row r="30" spans="1:29" ht="15" customHeight="1" x14ac:dyDescent="0.25">
      <c r="A30" s="28">
        <v>18</v>
      </c>
      <c r="B30" s="33">
        <v>44197</v>
      </c>
      <c r="C30" s="31">
        <f t="shared" si="9"/>
        <v>4291.666666666667</v>
      </c>
      <c r="D30" s="31">
        <f t="shared" si="6"/>
        <v>4103.0529325169746</v>
      </c>
      <c r="E30" s="31">
        <f t="shared" si="3"/>
        <v>4108.3313773724549</v>
      </c>
      <c r="F30" s="31">
        <f t="shared" si="4"/>
        <v>69841.633415331729</v>
      </c>
      <c r="G30" s="31">
        <f t="shared" si="10"/>
        <v>182.10941012577248</v>
      </c>
      <c r="H30" s="32">
        <f t="shared" si="5"/>
        <v>73025.87346043477</v>
      </c>
      <c r="I30" s="31"/>
      <c r="J30" s="28">
        <v>6</v>
      </c>
      <c r="K30" s="33">
        <v>44197</v>
      </c>
      <c r="L30" s="31">
        <f t="shared" si="11"/>
        <v>4291.666666666667</v>
      </c>
      <c r="M30" s="31">
        <f t="shared" si="12"/>
        <v>4215.2213462060536</v>
      </c>
      <c r="N30" s="31">
        <f t="shared" si="13"/>
        <v>4112.2063253140868</v>
      </c>
      <c r="O30" s="31">
        <f t="shared" si="7"/>
        <v>119253.98343410851</v>
      </c>
      <c r="P30" s="31">
        <f t="shared" si="14"/>
        <v>370.32996507695833</v>
      </c>
      <c r="Q30" s="32">
        <f t="shared" si="8"/>
        <v>123813.6516573964</v>
      </c>
      <c r="S30" s="115"/>
      <c r="T30" s="116"/>
      <c r="U30" s="116"/>
      <c r="V30" s="40"/>
      <c r="W30" s="40"/>
      <c r="X30" s="40"/>
      <c r="Y30" s="40"/>
      <c r="Z30" s="70"/>
    </row>
    <row r="31" spans="1:29" ht="15" customHeight="1" x14ac:dyDescent="0.25">
      <c r="A31" s="28">
        <v>19</v>
      </c>
      <c r="B31" s="33">
        <v>44228</v>
      </c>
      <c r="C31" s="31">
        <f t="shared" si="9"/>
        <v>4291.666666666667</v>
      </c>
      <c r="D31" s="31">
        <f t="shared" si="6"/>
        <v>4092.8208803161847</v>
      </c>
      <c r="E31" s="31">
        <f t="shared" si="3"/>
        <v>4108.3313773724549</v>
      </c>
      <c r="F31" s="31">
        <f t="shared" si="4"/>
        <v>65733.302037959278</v>
      </c>
      <c r="G31" s="31">
        <f t="shared" si="10"/>
        <v>171.83551698442025</v>
      </c>
      <c r="H31" s="32">
        <f t="shared" si="5"/>
        <v>68906.042310752513</v>
      </c>
      <c r="I31" s="31"/>
      <c r="J31" s="28">
        <v>7</v>
      </c>
      <c r="K31" s="33">
        <v>44228</v>
      </c>
      <c r="L31" s="31">
        <f t="shared" si="11"/>
        <v>4291.666666666667</v>
      </c>
      <c r="M31" s="31">
        <f t="shared" si="12"/>
        <v>4202.6135056889871</v>
      </c>
      <c r="N31" s="31">
        <f t="shared" si="13"/>
        <v>4112.2063253140868</v>
      </c>
      <c r="O31" s="31">
        <f t="shared" si="7"/>
        <v>115141.77710879443</v>
      </c>
      <c r="P31" s="31">
        <f t="shared" si="14"/>
        <v>358.56595497218922</v>
      </c>
      <c r="Q31" s="32">
        <f t="shared" si="8"/>
        <v>119880.55094570192</v>
      </c>
      <c r="S31" s="115" t="s">
        <v>118</v>
      </c>
      <c r="T31" s="116" t="s">
        <v>106</v>
      </c>
      <c r="U31" s="116" t="s">
        <v>0</v>
      </c>
      <c r="V31" s="40">
        <v>3240106</v>
      </c>
      <c r="W31" s="40"/>
      <c r="X31" s="40"/>
      <c r="Y31" s="40" t="s">
        <v>271</v>
      </c>
      <c r="Z31" s="70">
        <f>Z33-Z32</f>
        <v>46988.126882016739</v>
      </c>
    </row>
    <row r="32" spans="1:29" ht="15" customHeight="1" x14ac:dyDescent="0.25">
      <c r="A32" s="28">
        <v>20</v>
      </c>
      <c r="B32" s="33">
        <v>44256</v>
      </c>
      <c r="C32" s="31">
        <f t="shared" si="9"/>
        <v>4291.666666666667</v>
      </c>
      <c r="D32" s="31">
        <f t="shared" si="6"/>
        <v>4082.6143444550466</v>
      </c>
      <c r="E32" s="31">
        <f t="shared" si="3"/>
        <v>4108.3313773724549</v>
      </c>
      <c r="F32" s="31">
        <f t="shared" si="4"/>
        <v>61624.970660586827</v>
      </c>
      <c r="G32" s="31">
        <f t="shared" si="10"/>
        <v>161.53593911021463</v>
      </c>
      <c r="H32" s="32">
        <f t="shared" si="5"/>
        <v>64775.911583196066</v>
      </c>
      <c r="I32" s="31"/>
      <c r="J32" s="28">
        <v>8</v>
      </c>
      <c r="K32" s="33">
        <v>44256</v>
      </c>
      <c r="L32" s="31">
        <f t="shared" si="11"/>
        <v>4291.666666666667</v>
      </c>
      <c r="M32" s="31">
        <f t="shared" si="12"/>
        <v>4190.0433755623008</v>
      </c>
      <c r="N32" s="31">
        <f t="shared" si="13"/>
        <v>4112.2063253140868</v>
      </c>
      <c r="O32" s="31">
        <f t="shared" si="7"/>
        <v>111029.57078348035</v>
      </c>
      <c r="P32" s="31">
        <f t="shared" si="14"/>
        <v>346.76665283710577</v>
      </c>
      <c r="Q32" s="32">
        <f t="shared" si="8"/>
        <v>115935.65093187235</v>
      </c>
      <c r="S32" s="115"/>
      <c r="T32" s="116"/>
      <c r="U32" s="116" t="s">
        <v>0</v>
      </c>
      <c r="V32" s="40">
        <v>2422020</v>
      </c>
      <c r="W32" s="40"/>
      <c r="X32" s="40"/>
      <c r="Y32" s="40" t="s">
        <v>161</v>
      </c>
      <c r="Z32" s="70">
        <f>SUM(P24:P35)</f>
        <v>4511.8731179832539</v>
      </c>
    </row>
    <row r="33" spans="1:26" ht="15" customHeight="1" x14ac:dyDescent="0.25">
      <c r="A33" s="28">
        <v>21</v>
      </c>
      <c r="B33" s="33">
        <v>44287</v>
      </c>
      <c r="C33" s="31">
        <f t="shared" si="9"/>
        <v>4291.666666666667</v>
      </c>
      <c r="D33" s="31">
        <f t="shared" si="6"/>
        <v>4072.4332613017928</v>
      </c>
      <c r="E33" s="31">
        <f t="shared" si="3"/>
        <v>4108.3313773724549</v>
      </c>
      <c r="F33" s="31">
        <f t="shared" si="4"/>
        <v>57516.639283214376</v>
      </c>
      <c r="G33" s="31">
        <f t="shared" si="10"/>
        <v>151.21061229132351</v>
      </c>
      <c r="H33" s="32">
        <f t="shared" si="5"/>
        <v>60635.455528820727</v>
      </c>
      <c r="I33" s="31"/>
      <c r="J33" s="28">
        <v>9</v>
      </c>
      <c r="K33" s="33">
        <v>44287</v>
      </c>
      <c r="L33" s="31">
        <f t="shared" si="11"/>
        <v>4291.666666666667</v>
      </c>
      <c r="M33" s="31">
        <f t="shared" si="12"/>
        <v>4177.510843033202</v>
      </c>
      <c r="N33" s="31">
        <f t="shared" si="13"/>
        <v>4112.2063253140868</v>
      </c>
      <c r="O33" s="31">
        <f t="shared" si="7"/>
        <v>106917.36445816627</v>
      </c>
      <c r="P33" s="31">
        <f t="shared" si="14"/>
        <v>334.93195279561706</v>
      </c>
      <c r="Q33" s="32">
        <f t="shared" si="8"/>
        <v>111978.91621800129</v>
      </c>
      <c r="S33" s="115"/>
      <c r="T33" s="116"/>
      <c r="U33" s="116" t="s">
        <v>1</v>
      </c>
      <c r="V33" s="40"/>
      <c r="W33" s="40"/>
      <c r="X33" s="40"/>
      <c r="Y33" s="40" t="s">
        <v>31</v>
      </c>
      <c r="Z33" s="70">
        <f>SUM(L24:L35)</f>
        <v>51499.999999999993</v>
      </c>
    </row>
    <row r="34" spans="1:26" ht="15" customHeight="1" x14ac:dyDescent="0.25">
      <c r="A34" s="28">
        <v>22</v>
      </c>
      <c r="B34" s="33">
        <v>44317</v>
      </c>
      <c r="C34" s="31">
        <f t="shared" si="9"/>
        <v>4291.666666666667</v>
      </c>
      <c r="D34" s="31">
        <f t="shared" si="6"/>
        <v>4062.2775673833353</v>
      </c>
      <c r="E34" s="31">
        <f t="shared" si="3"/>
        <v>4108.3313773724549</v>
      </c>
      <c r="F34" s="31">
        <f t="shared" si="4"/>
        <v>53408.307905841924</v>
      </c>
      <c r="G34" s="31">
        <f t="shared" si="10"/>
        <v>140.85947215538516</v>
      </c>
      <c r="H34" s="32">
        <f t="shared" si="5"/>
        <v>56484.648334309444</v>
      </c>
      <c r="I34" s="31"/>
      <c r="J34" s="28">
        <v>10</v>
      </c>
      <c r="K34" s="33">
        <v>44317</v>
      </c>
      <c r="L34" s="31">
        <f t="shared" si="11"/>
        <v>4291.666666666667</v>
      </c>
      <c r="M34" s="31">
        <f t="shared" si="12"/>
        <v>4165.0157956462635</v>
      </c>
      <c r="N34" s="31">
        <f t="shared" si="13"/>
        <v>4112.2063253140868</v>
      </c>
      <c r="O34" s="31">
        <f t="shared" si="7"/>
        <v>102805.15813285219</v>
      </c>
      <c r="P34" s="31">
        <f t="shared" si="14"/>
        <v>323.06174865400385</v>
      </c>
      <c r="Q34" s="32">
        <f t="shared" si="8"/>
        <v>108010.31129998862</v>
      </c>
      <c r="S34" s="115" t="s">
        <v>119</v>
      </c>
      <c r="T34" s="116"/>
      <c r="U34" s="116"/>
      <c r="V34" s="40"/>
      <c r="W34" s="40"/>
      <c r="X34" s="40"/>
      <c r="Y34" s="40"/>
      <c r="Z34" s="70"/>
    </row>
    <row r="35" spans="1:26" ht="15" customHeight="1" thickBot="1" x14ac:dyDescent="0.3">
      <c r="A35" s="28">
        <v>23</v>
      </c>
      <c r="B35" s="33">
        <v>44348</v>
      </c>
      <c r="C35" s="31">
        <f t="shared" si="9"/>
        <v>4291.666666666667</v>
      </c>
      <c r="D35" s="31">
        <f t="shared" si="6"/>
        <v>4052.1471993848727</v>
      </c>
      <c r="E35" s="31">
        <f t="shared" si="3"/>
        <v>4108.3313773724549</v>
      </c>
      <c r="F35" s="31">
        <f>+F34-E35</f>
        <v>49299.976528469473</v>
      </c>
      <c r="G35" s="31">
        <f t="shared" si="10"/>
        <v>130.48245416910694</v>
      </c>
      <c r="H35" s="32">
        <f t="shared" si="5"/>
        <v>52323.464121811885</v>
      </c>
      <c r="I35" s="31"/>
      <c r="J35" s="28">
        <v>11</v>
      </c>
      <c r="K35" s="33">
        <v>44348</v>
      </c>
      <c r="L35" s="31">
        <f t="shared" si="11"/>
        <v>4291.666666666667</v>
      </c>
      <c r="M35" s="31">
        <f t="shared" si="12"/>
        <v>4152.5581212824163</v>
      </c>
      <c r="N35" s="31">
        <f t="shared" si="13"/>
        <v>4112.2063253140868</v>
      </c>
      <c r="O35" s="31">
        <f t="shared" si="7"/>
        <v>98692.951807538106</v>
      </c>
      <c r="P35" s="31">
        <f t="shared" si="14"/>
        <v>311.15593389996587</v>
      </c>
      <c r="Q35" s="32">
        <f t="shared" si="8"/>
        <v>104029.80056722192</v>
      </c>
      <c r="S35" s="115"/>
      <c r="T35" s="116"/>
      <c r="U35" s="116"/>
      <c r="V35" s="40"/>
      <c r="W35" s="40"/>
      <c r="X35" s="40"/>
      <c r="Y35" s="40"/>
      <c r="Z35" s="70"/>
    </row>
    <row r="36" spans="1:26" ht="15" customHeight="1" x14ac:dyDescent="0.25">
      <c r="A36" s="28">
        <v>24</v>
      </c>
      <c r="B36" s="33">
        <v>44378</v>
      </c>
      <c r="C36" s="31">
        <f>(50000*1.03^2)/12</f>
        <v>4420.416666666667</v>
      </c>
      <c r="D36" s="31">
        <f t="shared" si="6"/>
        <v>4163.3033569739846</v>
      </c>
      <c r="E36" s="31">
        <f t="shared" si="3"/>
        <v>4108.3313773724549</v>
      </c>
      <c r="F36" s="31">
        <f>+F35-E36</f>
        <v>45191.645151097022</v>
      </c>
      <c r="G36" s="31">
        <f t="shared" si="10"/>
        <v>119.75761863786306</v>
      </c>
      <c r="H36" s="32">
        <f>+H35-C36+G36</f>
        <v>48022.805073783085</v>
      </c>
      <c r="I36" s="31"/>
      <c r="J36" s="28">
        <v>12</v>
      </c>
      <c r="K36" s="33">
        <v>44378</v>
      </c>
      <c r="L36" s="31">
        <f t="shared" si="11"/>
        <v>4420.416666666667</v>
      </c>
      <c r="M36" s="31">
        <f t="shared" si="12"/>
        <v>4264.3418394026812</v>
      </c>
      <c r="N36" s="31">
        <f t="shared" si="13"/>
        <v>4112.2063253140868</v>
      </c>
      <c r="O36" s="31">
        <f t="shared" si="7"/>
        <v>94580.745482224025</v>
      </c>
      <c r="P36" s="31">
        <f t="shared" si="14"/>
        <v>298.82815170166572</v>
      </c>
      <c r="Q36" s="32">
        <f t="shared" si="8"/>
        <v>99908.212052256902</v>
      </c>
      <c r="R36" s="31"/>
      <c r="S36" s="124" t="s">
        <v>120</v>
      </c>
      <c r="T36" s="125" t="s">
        <v>107</v>
      </c>
      <c r="U36" s="125" t="s">
        <v>0</v>
      </c>
      <c r="V36" s="51">
        <v>2241002</v>
      </c>
      <c r="W36" s="51"/>
      <c r="X36" s="51"/>
      <c r="Y36" s="51" t="s">
        <v>251</v>
      </c>
      <c r="Z36" s="69">
        <f>SUM(N36:N47)</f>
        <v>49346.475903769046</v>
      </c>
    </row>
    <row r="37" spans="1:26" ht="15" customHeight="1" x14ac:dyDescent="0.25">
      <c r="A37" s="28">
        <v>25</v>
      </c>
      <c r="B37" s="33">
        <v>44409</v>
      </c>
      <c r="C37" s="31">
        <f t="shared" ref="C37:C47" si="15">(50000*1.03^2)/12</f>
        <v>4420.416666666667</v>
      </c>
      <c r="D37" s="31">
        <f t="shared" si="6"/>
        <v>4152.9210543381387</v>
      </c>
      <c r="E37" s="31">
        <f t="shared" si="3"/>
        <v>4108.3313773724549</v>
      </c>
      <c r="F37" s="31">
        <f t="shared" ref="F37:F47" si="16">+F36-E37</f>
        <v>41083.313773724571</v>
      </c>
      <c r="G37" s="31">
        <f t="shared" si="10"/>
        <v>109.00597101779105</v>
      </c>
      <c r="H37" s="32">
        <f t="shared" ref="H37:H47" si="17">+H36-C37+G37</f>
        <v>43711.39437813421</v>
      </c>
      <c r="I37" s="31"/>
      <c r="J37" s="28">
        <v>13</v>
      </c>
      <c r="K37" s="33">
        <v>44409</v>
      </c>
      <c r="L37" s="31">
        <f t="shared" si="11"/>
        <v>4420.416666666667</v>
      </c>
      <c r="M37" s="31">
        <f t="shared" si="12"/>
        <v>4251.5870781681779</v>
      </c>
      <c r="N37" s="31">
        <f t="shared" si="13"/>
        <v>4112.2063253140868</v>
      </c>
      <c r="O37" s="31">
        <f t="shared" si="7"/>
        <v>90468.539156909945</v>
      </c>
      <c r="P37" s="31">
        <f t="shared" si="14"/>
        <v>286.4633861567707</v>
      </c>
      <c r="Q37" s="32">
        <f t="shared" si="8"/>
        <v>95774.258771747001</v>
      </c>
      <c r="S37" s="115"/>
      <c r="T37" s="116"/>
      <c r="U37" s="116" t="s">
        <v>1</v>
      </c>
      <c r="V37" s="40">
        <v>5311002</v>
      </c>
      <c r="W37" s="40">
        <v>7353</v>
      </c>
      <c r="X37" s="40"/>
      <c r="Y37" s="40" t="s">
        <v>105</v>
      </c>
      <c r="Z37" s="70">
        <f>Z36</f>
        <v>49346.475903769046</v>
      </c>
    </row>
    <row r="38" spans="1:26" ht="15" customHeight="1" x14ac:dyDescent="0.25">
      <c r="A38" s="28">
        <v>26</v>
      </c>
      <c r="B38" s="33">
        <v>44440</v>
      </c>
      <c r="C38" s="31">
        <f t="shared" si="15"/>
        <v>4420.416666666667</v>
      </c>
      <c r="D38" s="31">
        <f t="shared" si="6"/>
        <v>4142.5646427313104</v>
      </c>
      <c r="E38" s="31">
        <f t="shared" si="3"/>
        <v>4108.3313773724549</v>
      </c>
      <c r="F38" s="31">
        <f t="shared" si="16"/>
        <v>36974.982396352119</v>
      </c>
      <c r="G38" s="31">
        <f t="shared" si="10"/>
        <v>98.22744427866887</v>
      </c>
      <c r="H38" s="32">
        <f t="shared" si="17"/>
        <v>39389.205155746211</v>
      </c>
      <c r="I38" s="31"/>
      <c r="J38" s="28">
        <v>14</v>
      </c>
      <c r="K38" s="33">
        <v>44440</v>
      </c>
      <c r="L38" s="31">
        <f t="shared" si="11"/>
        <v>4420.416666666667</v>
      </c>
      <c r="M38" s="31">
        <f t="shared" si="12"/>
        <v>4238.8704667678749</v>
      </c>
      <c r="N38" s="31">
        <f t="shared" si="13"/>
        <v>4112.2063253140868</v>
      </c>
      <c r="O38" s="31">
        <f t="shared" si="7"/>
        <v>86356.332831595864</v>
      </c>
      <c r="P38" s="31">
        <f t="shared" si="14"/>
        <v>274.061526315241</v>
      </c>
      <c r="Q38" s="32">
        <f t="shared" si="8"/>
        <v>91627.903631395573</v>
      </c>
      <c r="S38" s="115" t="s">
        <v>193</v>
      </c>
      <c r="T38" s="116"/>
      <c r="U38" s="116"/>
      <c r="V38" s="40"/>
      <c r="W38" s="40"/>
      <c r="X38" s="40"/>
      <c r="Y38" s="40"/>
      <c r="Z38" s="70"/>
    </row>
    <row r="39" spans="1:26" ht="15" customHeight="1" x14ac:dyDescent="0.25">
      <c r="A39" s="28">
        <v>27</v>
      </c>
      <c r="B39" s="33">
        <v>44470</v>
      </c>
      <c r="C39" s="31">
        <f t="shared" si="15"/>
        <v>4420.416666666667</v>
      </c>
      <c r="D39" s="31">
        <f t="shared" si="6"/>
        <v>4132.2340575873422</v>
      </c>
      <c r="E39" s="31">
        <f t="shared" si="3"/>
        <v>4108.3313773724549</v>
      </c>
      <c r="F39" s="31">
        <f t="shared" si="16"/>
        <v>32866.651018979668</v>
      </c>
      <c r="G39" s="31">
        <f t="shared" si="10"/>
        <v>87.421971222698872</v>
      </c>
      <c r="H39" s="32">
        <f t="shared" si="17"/>
        <v>35056.210460302245</v>
      </c>
      <c r="I39" s="31"/>
      <c r="J39" s="28">
        <v>15</v>
      </c>
      <c r="K39" s="33">
        <v>44470</v>
      </c>
      <c r="L39" s="31">
        <f t="shared" si="11"/>
        <v>4420.416666666667</v>
      </c>
      <c r="M39" s="31">
        <f t="shared" si="12"/>
        <v>4226.1918910945915</v>
      </c>
      <c r="N39" s="31">
        <f t="shared" si="13"/>
        <v>4112.2063253140868</v>
      </c>
      <c r="O39" s="31">
        <f t="shared" si="7"/>
        <v>82244.126506281784</v>
      </c>
      <c r="P39" s="31">
        <f t="shared" si="14"/>
        <v>261.6224608941867</v>
      </c>
      <c r="Q39" s="32">
        <f t="shared" si="8"/>
        <v>87469.109425623086</v>
      </c>
      <c r="S39" s="115"/>
      <c r="T39" s="116"/>
      <c r="U39" s="116"/>
      <c r="V39" s="40"/>
      <c r="W39" s="40"/>
      <c r="X39" s="40"/>
      <c r="Y39" s="40"/>
      <c r="Z39" s="70"/>
    </row>
    <row r="40" spans="1:26" ht="15" customHeight="1" x14ac:dyDescent="0.25">
      <c r="A40" s="28">
        <v>28</v>
      </c>
      <c r="B40" s="33">
        <v>44501</v>
      </c>
      <c r="C40" s="31">
        <f t="shared" si="15"/>
        <v>4420.416666666667</v>
      </c>
      <c r="D40" s="31">
        <f t="shared" si="6"/>
        <v>4121.9292345010899</v>
      </c>
      <c r="E40" s="31">
        <f t="shared" si="3"/>
        <v>4108.3313773724549</v>
      </c>
      <c r="F40" s="31">
        <f t="shared" si="16"/>
        <v>28758.319641607213</v>
      </c>
      <c r="G40" s="31">
        <f t="shared" si="10"/>
        <v>76.589484484088942</v>
      </c>
      <c r="H40" s="32">
        <f t="shared" si="17"/>
        <v>30712.383278119665</v>
      </c>
      <c r="I40" s="31"/>
      <c r="J40" s="28">
        <v>16</v>
      </c>
      <c r="K40" s="33">
        <v>44501</v>
      </c>
      <c r="L40" s="31">
        <f t="shared" si="11"/>
        <v>4420.416666666667</v>
      </c>
      <c r="M40" s="31">
        <f t="shared" si="12"/>
        <v>4213.5512373824449</v>
      </c>
      <c r="N40" s="31">
        <f t="shared" si="13"/>
        <v>4112.2063253140868</v>
      </c>
      <c r="O40" s="31">
        <f t="shared" si="7"/>
        <v>78131.920180967703</v>
      </c>
      <c r="P40" s="31">
        <f t="shared" si="14"/>
        <v>249.14607827686925</v>
      </c>
      <c r="Q40" s="32">
        <f t="shared" si="8"/>
        <v>83297.838837233285</v>
      </c>
      <c r="S40" s="115" t="s">
        <v>122</v>
      </c>
      <c r="T40" s="116" t="s">
        <v>107</v>
      </c>
      <c r="U40" s="116" t="s">
        <v>0</v>
      </c>
      <c r="V40" s="40">
        <v>3240106</v>
      </c>
      <c r="W40" s="40"/>
      <c r="X40" s="40"/>
      <c r="Y40" s="40" t="s">
        <v>271</v>
      </c>
      <c r="Z40" s="70">
        <f>Z42-Z41</f>
        <v>50283.352801169167</v>
      </c>
    </row>
    <row r="41" spans="1:26" ht="15" customHeight="1" x14ac:dyDescent="0.25">
      <c r="A41" s="28">
        <v>29</v>
      </c>
      <c r="B41" s="33">
        <v>44531</v>
      </c>
      <c r="C41" s="31">
        <f t="shared" si="15"/>
        <v>4420.416666666667</v>
      </c>
      <c r="D41" s="31">
        <f t="shared" si="6"/>
        <v>4111.6501092280196</v>
      </c>
      <c r="E41" s="31">
        <f t="shared" si="3"/>
        <v>4108.3313773724549</v>
      </c>
      <c r="F41" s="31">
        <f t="shared" si="16"/>
        <v>24649.988264234758</v>
      </c>
      <c r="G41" s="31">
        <f t="shared" si="10"/>
        <v>65.729916528632501</v>
      </c>
      <c r="H41" s="32">
        <f t="shared" si="17"/>
        <v>26357.696527981629</v>
      </c>
      <c r="I41" s="31"/>
      <c r="J41" s="28">
        <v>17</v>
      </c>
      <c r="K41" s="33">
        <v>44531</v>
      </c>
      <c r="L41" s="31">
        <f t="shared" si="11"/>
        <v>4420.416666666667</v>
      </c>
      <c r="M41" s="31">
        <f t="shared" si="12"/>
        <v>4200.948392205828</v>
      </c>
      <c r="N41" s="31">
        <f t="shared" si="13"/>
        <v>4112.2063253140868</v>
      </c>
      <c r="O41" s="31">
        <f t="shared" si="7"/>
        <v>74019.713855653623</v>
      </c>
      <c r="P41" s="31">
        <f t="shared" si="14"/>
        <v>236.63226651169984</v>
      </c>
      <c r="Q41" s="32">
        <f t="shared" si="8"/>
        <v>79114.054437078317</v>
      </c>
      <c r="S41" s="115"/>
      <c r="T41" s="116"/>
      <c r="U41" s="116" t="s">
        <v>0</v>
      </c>
      <c r="V41" s="40">
        <v>2422020</v>
      </c>
      <c r="W41" s="40"/>
      <c r="X41" s="40"/>
      <c r="Y41" s="40" t="s">
        <v>161</v>
      </c>
      <c r="Z41" s="70">
        <f>SUM(P36:P47)</f>
        <v>2761.6471988308258</v>
      </c>
    </row>
    <row r="42" spans="1:26" ht="15" customHeight="1" x14ac:dyDescent="0.25">
      <c r="A42" s="28">
        <v>30</v>
      </c>
      <c r="B42" s="33">
        <v>44562</v>
      </c>
      <c r="C42" s="31">
        <f t="shared" si="15"/>
        <v>4420.416666666667</v>
      </c>
      <c r="D42" s="31">
        <f t="shared" si="6"/>
        <v>4101.3966176838112</v>
      </c>
      <c r="E42" s="31">
        <f t="shared" si="3"/>
        <v>4108.3313773724549</v>
      </c>
      <c r="F42" s="31">
        <f t="shared" si="16"/>
        <v>20541.656886862304</v>
      </c>
      <c r="G42" s="31">
        <f t="shared" si="10"/>
        <v>54.8431996532874</v>
      </c>
      <c r="H42" s="32">
        <f t="shared" si="17"/>
        <v>21992.12306096825</v>
      </c>
      <c r="I42" s="31"/>
      <c r="J42" s="28">
        <v>18</v>
      </c>
      <c r="K42" s="33">
        <v>44562</v>
      </c>
      <c r="L42" s="31">
        <f t="shared" si="11"/>
        <v>4420.416666666667</v>
      </c>
      <c r="M42" s="31">
        <f>+L42/(1+M$1)^J42</f>
        <v>4188.3832424783932</v>
      </c>
      <c r="N42" s="31">
        <f t="shared" si="13"/>
        <v>4112.2063253140868</v>
      </c>
      <c r="O42" s="31">
        <f t="shared" si="7"/>
        <v>69907.507530339542</v>
      </c>
      <c r="P42" s="31">
        <f t="shared" si="14"/>
        <v>224.08091331123495</v>
      </c>
      <c r="Q42" s="32">
        <f t="shared" si="8"/>
        <v>74917.71868372288</v>
      </c>
      <c r="S42" s="115"/>
      <c r="T42" s="116"/>
      <c r="U42" s="116" t="s">
        <v>1</v>
      </c>
      <c r="V42" s="40"/>
      <c r="W42" s="40"/>
      <c r="X42" s="40"/>
      <c r="Y42" s="40" t="s">
        <v>31</v>
      </c>
      <c r="Z42" s="70">
        <f>SUM(L36:L47)</f>
        <v>53044.999999999993</v>
      </c>
    </row>
    <row r="43" spans="1:26" ht="15" customHeight="1" thickBot="1" x14ac:dyDescent="0.3">
      <c r="A43" s="28">
        <v>31</v>
      </c>
      <c r="B43" s="33">
        <v>44593</v>
      </c>
      <c r="C43" s="31">
        <f t="shared" si="15"/>
        <v>4420.416666666667</v>
      </c>
      <c r="D43" s="31">
        <f t="shared" si="6"/>
        <v>4091.1686959439517</v>
      </c>
      <c r="E43" s="31">
        <f t="shared" si="3"/>
        <v>4108.3313773724549</v>
      </c>
      <c r="F43" s="31">
        <f t="shared" si="16"/>
        <v>16433.325509489849</v>
      </c>
      <c r="G43" s="31">
        <f t="shared" si="10"/>
        <v>43.929265985753958</v>
      </c>
      <c r="H43" s="32">
        <f t="shared" si="17"/>
        <v>17615.635660287335</v>
      </c>
      <c r="I43" s="31"/>
      <c r="J43" s="28">
        <v>19</v>
      </c>
      <c r="K43" s="33">
        <v>44593</v>
      </c>
      <c r="L43" s="31">
        <f t="shared" si="11"/>
        <v>4420.416666666667</v>
      </c>
      <c r="M43" s="31">
        <f t="shared" si="12"/>
        <v>4175.8556754520378</v>
      </c>
      <c r="N43" s="31">
        <f t="shared" si="13"/>
        <v>4112.2063253140868</v>
      </c>
      <c r="O43" s="31">
        <f t="shared" si="7"/>
        <v>65795.301205025462</v>
      </c>
      <c r="P43" s="31">
        <f t="shared" si="14"/>
        <v>211.49190605116863</v>
      </c>
      <c r="Q43" s="32">
        <f t="shared" si="8"/>
        <v>70708.793923107383</v>
      </c>
      <c r="S43" s="115" t="s">
        <v>121</v>
      </c>
      <c r="T43" s="116"/>
      <c r="U43" s="116"/>
      <c r="V43" s="40"/>
      <c r="W43" s="40"/>
      <c r="X43" s="40"/>
      <c r="Y43" s="40"/>
      <c r="Z43" s="70"/>
    </row>
    <row r="44" spans="1:26" ht="15" customHeight="1" x14ac:dyDescent="0.25">
      <c r="A44" s="28">
        <v>32</v>
      </c>
      <c r="B44" s="33">
        <v>44621</v>
      </c>
      <c r="C44" s="31">
        <f t="shared" si="15"/>
        <v>4420.416666666667</v>
      </c>
      <c r="D44" s="31">
        <f t="shared" si="6"/>
        <v>4080.9662802433427</v>
      </c>
      <c r="E44" s="31">
        <f t="shared" si="3"/>
        <v>4108.3313773724549</v>
      </c>
      <c r="F44" s="31">
        <f t="shared" si="16"/>
        <v>12324.994132117394</v>
      </c>
      <c r="G44" s="31">
        <f t="shared" si="10"/>
        <v>32.98804748405167</v>
      </c>
      <c r="H44" s="32">
        <f t="shared" si="17"/>
        <v>13228.207041104719</v>
      </c>
      <c r="I44" s="31"/>
      <c r="J44" s="28">
        <v>20</v>
      </c>
      <c r="K44" s="33">
        <v>44621</v>
      </c>
      <c r="L44" s="31">
        <f t="shared" si="11"/>
        <v>4420.416666666667</v>
      </c>
      <c r="M44" s="31">
        <f t="shared" si="12"/>
        <v>4163.3655787158905</v>
      </c>
      <c r="N44" s="31">
        <f t="shared" si="13"/>
        <v>4112.2063253140868</v>
      </c>
      <c r="O44" s="31">
        <f t="shared" si="7"/>
        <v>61683.094879711374</v>
      </c>
      <c r="P44" s="31">
        <f t="shared" si="14"/>
        <v>198.86513176932215</v>
      </c>
      <c r="Q44" s="32">
        <f t="shared" si="8"/>
        <v>66487.242388210041</v>
      </c>
      <c r="S44" s="124"/>
      <c r="T44" s="126"/>
      <c r="U44" s="125"/>
      <c r="V44" s="51"/>
      <c r="W44" s="51"/>
      <c r="X44" s="51"/>
      <c r="Y44" s="51"/>
      <c r="Z44" s="69"/>
    </row>
    <row r="45" spans="1:26" ht="15" customHeight="1" x14ac:dyDescent="0.25">
      <c r="A45" s="28">
        <v>33</v>
      </c>
      <c r="B45" s="33">
        <v>44652</v>
      </c>
      <c r="C45" s="31">
        <f t="shared" si="15"/>
        <v>4420.416666666667</v>
      </c>
      <c r="D45" s="31">
        <f t="shared" si="6"/>
        <v>4070.7893069759029</v>
      </c>
      <c r="E45" s="31">
        <f t="shared" si="3"/>
        <v>4108.3313773724549</v>
      </c>
      <c r="F45" s="31">
        <f t="shared" si="16"/>
        <v>8216.6627547449389</v>
      </c>
      <c r="G45" s="31">
        <f t="shared" si="10"/>
        <v>22.019475936095134</v>
      </c>
      <c r="H45" s="32">
        <f t="shared" si="17"/>
        <v>8829.8098503741476</v>
      </c>
      <c r="I45" s="31"/>
      <c r="J45" s="28">
        <v>21</v>
      </c>
      <c r="K45" s="33">
        <v>44652</v>
      </c>
      <c r="L45" s="31">
        <f t="shared" si="11"/>
        <v>4420.416666666667</v>
      </c>
      <c r="M45" s="31">
        <f t="shared" si="12"/>
        <v>4150.9128401953049</v>
      </c>
      <c r="N45" s="31">
        <f t="shared" si="13"/>
        <v>4112.2063253140868</v>
      </c>
      <c r="O45" s="31">
        <f t="shared" si="7"/>
        <v>57570.888554397286</v>
      </c>
      <c r="P45" s="31">
        <f t="shared" si="14"/>
        <v>186.20047716463014</v>
      </c>
      <c r="Q45" s="32">
        <f t="shared" si="8"/>
        <v>62253.026198708008</v>
      </c>
      <c r="S45" s="115" t="s">
        <v>201</v>
      </c>
      <c r="T45" s="116" t="s">
        <v>108</v>
      </c>
      <c r="U45" s="116" t="s">
        <v>0</v>
      </c>
      <c r="V45" s="40">
        <v>2241002</v>
      </c>
      <c r="W45" s="40"/>
      <c r="X45" s="40"/>
      <c r="Y45" s="40" t="s">
        <v>251</v>
      </c>
      <c r="Z45" s="70">
        <f>SUM(N48:N59)</f>
        <v>49346.475903769046</v>
      </c>
    </row>
    <row r="46" spans="1:26" ht="15" customHeight="1" x14ac:dyDescent="0.25">
      <c r="A46" s="28">
        <v>34</v>
      </c>
      <c r="B46" s="33">
        <v>44682</v>
      </c>
      <c r="C46" s="31">
        <f t="shared" si="15"/>
        <v>4420.416666666667</v>
      </c>
      <c r="D46" s="31">
        <f t="shared" si="6"/>
        <v>4060.6377126941679</v>
      </c>
      <c r="E46" s="31">
        <f t="shared" si="3"/>
        <v>4108.3313773724549</v>
      </c>
      <c r="F46" s="31">
        <f t="shared" si="16"/>
        <v>4108.331377372484</v>
      </c>
      <c r="G46" s="31">
        <f t="shared" si="10"/>
        <v>11.023482959268701</v>
      </c>
      <c r="H46" s="32">
        <f t="shared" si="17"/>
        <v>4420.4166666667497</v>
      </c>
      <c r="I46" s="31"/>
      <c r="J46" s="28">
        <v>22</v>
      </c>
      <c r="K46" s="33">
        <v>44682</v>
      </c>
      <c r="L46" s="31">
        <f t="shared" si="11"/>
        <v>4420.416666666667</v>
      </c>
      <c r="M46" s="31">
        <f t="shared" si="12"/>
        <v>4138.4973481508532</v>
      </c>
      <c r="N46" s="31">
        <f t="shared" si="13"/>
        <v>4112.2063253140868</v>
      </c>
      <c r="O46" s="31">
        <f t="shared" si="7"/>
        <v>53458.682229083199</v>
      </c>
      <c r="P46" s="31">
        <f t="shared" si="14"/>
        <v>173.49782859612404</v>
      </c>
      <c r="Q46" s="32">
        <f t="shared" si="8"/>
        <v>58006.10736063747</v>
      </c>
      <c r="S46" s="115"/>
      <c r="T46" s="116"/>
      <c r="U46" s="116" t="s">
        <v>1</v>
      </c>
      <c r="V46" s="40">
        <v>5311002</v>
      </c>
      <c r="W46" s="40">
        <v>7353</v>
      </c>
      <c r="X46" s="40"/>
      <c r="Y46" s="40" t="s">
        <v>105</v>
      </c>
      <c r="Z46" s="70">
        <f>Z45</f>
        <v>49346.475903769046</v>
      </c>
    </row>
    <row r="47" spans="1:26" ht="15" customHeight="1" x14ac:dyDescent="0.25">
      <c r="A47" s="28">
        <v>35</v>
      </c>
      <c r="B47" s="33">
        <v>44713</v>
      </c>
      <c r="C47" s="31">
        <f t="shared" si="15"/>
        <v>4420.416666666667</v>
      </c>
      <c r="D47" s="31">
        <f t="shared" si="6"/>
        <v>4050.5114341088961</v>
      </c>
      <c r="E47" s="31">
        <f>+F$10/36</f>
        <v>4108.3313773724549</v>
      </c>
      <c r="F47" s="31">
        <f t="shared" si="16"/>
        <v>2.9103830456733704E-11</v>
      </c>
      <c r="G47" s="31">
        <f t="shared" si="10"/>
        <v>2.0691004465334118E-13</v>
      </c>
      <c r="H47" s="32">
        <f t="shared" si="17"/>
        <v>8.2970927905989817E-11</v>
      </c>
      <c r="I47" s="31"/>
      <c r="J47" s="28">
        <v>23</v>
      </c>
      <c r="K47" s="33">
        <v>44713</v>
      </c>
      <c r="L47" s="31">
        <f t="shared" si="11"/>
        <v>4420.416666666667</v>
      </c>
      <c r="M47" s="31">
        <f t="shared" si="12"/>
        <v>4126.1189911773226</v>
      </c>
      <c r="N47" s="31">
        <f t="shared" si="13"/>
        <v>4112.2063253140868</v>
      </c>
      <c r="O47" s="75">
        <f>+O46-N47</f>
        <v>49346.475903769111</v>
      </c>
      <c r="P47" s="31">
        <f t="shared" si="14"/>
        <v>160.75707208191241</v>
      </c>
      <c r="Q47" s="32">
        <f t="shared" si="8"/>
        <v>53746.447766052719</v>
      </c>
      <c r="S47" s="115" t="s">
        <v>190</v>
      </c>
      <c r="T47" s="116"/>
      <c r="U47" s="116"/>
      <c r="V47" s="40"/>
      <c r="W47" s="40"/>
      <c r="X47" s="40"/>
      <c r="Y47" s="40"/>
      <c r="Z47" s="70"/>
    </row>
    <row r="48" spans="1:26" ht="15" customHeight="1" thickBot="1" x14ac:dyDescent="0.3">
      <c r="A48" s="35"/>
      <c r="B48" s="36"/>
      <c r="C48" s="37">
        <f>SUM(C10:C47)</f>
        <v>154545</v>
      </c>
      <c r="D48" s="37">
        <f>SUM(D10:D47)</f>
        <v>147899.92958540836</v>
      </c>
      <c r="E48" s="37">
        <f>SUM(E10:E47)</f>
        <v>147899.92958540833</v>
      </c>
      <c r="F48" s="36"/>
      <c r="G48" s="37">
        <f>SUM(G10:G47)</f>
        <v>6645.070414591748</v>
      </c>
      <c r="H48" s="38"/>
      <c r="I48" s="31"/>
      <c r="J48" s="28">
        <v>24</v>
      </c>
      <c r="K48" s="33">
        <v>44743</v>
      </c>
      <c r="L48" s="31">
        <f>+L$47*1.03</f>
        <v>4553.0291666666672</v>
      </c>
      <c r="M48" s="31">
        <f t="shared" si="12"/>
        <v>4237.1909879487957</v>
      </c>
      <c r="N48" s="31">
        <f t="shared" si="13"/>
        <v>4112.2063253140868</v>
      </c>
      <c r="O48" s="31">
        <f t="shared" ref="O48:O59" si="18">+O47-N48</f>
        <v>45234.269578455023</v>
      </c>
      <c r="P48" s="31">
        <f t="shared" si="14"/>
        <v>147.58025579815816</v>
      </c>
      <c r="Q48" s="32">
        <f t="shared" ref="Q48:Q59" si="19">+Q47-L48+P48</f>
        <v>49340.998855184211</v>
      </c>
      <c r="S48" s="115"/>
      <c r="T48" s="116"/>
      <c r="U48" s="116"/>
      <c r="V48" s="40"/>
      <c r="W48" s="40"/>
      <c r="X48" s="40"/>
      <c r="Y48" s="40"/>
      <c r="Z48" s="70"/>
    </row>
    <row r="49" spans="1:28" ht="15" customHeight="1" x14ac:dyDescent="0.25">
      <c r="A49" s="53"/>
      <c r="B49" s="191"/>
      <c r="C49" s="192"/>
      <c r="D49" s="192"/>
      <c r="E49" s="192"/>
      <c r="F49" s="192"/>
      <c r="G49" s="192"/>
      <c r="H49" s="192"/>
      <c r="I49" s="31"/>
      <c r="J49" s="28">
        <v>25</v>
      </c>
      <c r="K49" s="33">
        <v>44774</v>
      </c>
      <c r="L49" s="31">
        <f t="shared" ref="L49:L59" si="20">+L$47*1.03</f>
        <v>4553.0291666666672</v>
      </c>
      <c r="M49" s="31">
        <f t="shared" si="12"/>
        <v>4224.5174356418711</v>
      </c>
      <c r="N49" s="31">
        <f t="shared" si="13"/>
        <v>4112.2063253140868</v>
      </c>
      <c r="O49" s="31">
        <f t="shared" si="18"/>
        <v>41122.063253140936</v>
      </c>
      <c r="P49" s="31">
        <f t="shared" si="14"/>
        <v>134.36390906555263</v>
      </c>
      <c r="Q49" s="32">
        <f t="shared" si="19"/>
        <v>44922.3335975831</v>
      </c>
      <c r="S49" s="115" t="s">
        <v>202</v>
      </c>
      <c r="T49" s="116" t="s">
        <v>108</v>
      </c>
      <c r="U49" s="116" t="s">
        <v>0</v>
      </c>
      <c r="V49" s="40">
        <v>3240106</v>
      </c>
      <c r="W49" s="40"/>
      <c r="X49" s="40"/>
      <c r="Y49" s="40" t="s">
        <v>271</v>
      </c>
      <c r="Z49" s="70">
        <f>Z51-Z50</f>
        <v>53746.447766052355</v>
      </c>
    </row>
    <row r="50" spans="1:28" ht="15" customHeight="1" x14ac:dyDescent="0.25">
      <c r="A50" s="29"/>
      <c r="B50" s="33"/>
      <c r="C50" s="31"/>
      <c r="D50" s="31"/>
      <c r="E50" s="31"/>
      <c r="F50" s="31"/>
      <c r="G50" s="31"/>
      <c r="H50" s="31"/>
      <c r="I50" s="31"/>
      <c r="J50" s="28">
        <v>26</v>
      </c>
      <c r="K50" s="33">
        <v>44805</v>
      </c>
      <c r="L50" s="31">
        <f t="shared" si="20"/>
        <v>4553.0291666666672</v>
      </c>
      <c r="M50" s="31">
        <f t="shared" si="12"/>
        <v>4211.8817902710589</v>
      </c>
      <c r="N50" s="31">
        <f t="shared" si="13"/>
        <v>4112.2063253140868</v>
      </c>
      <c r="O50" s="31">
        <f t="shared" si="18"/>
        <v>37009.856927826848</v>
      </c>
      <c r="P50" s="31">
        <f t="shared" si="14"/>
        <v>121.1079132927493</v>
      </c>
      <c r="Q50" s="32">
        <f t="shared" si="19"/>
        <v>40490.41234420918</v>
      </c>
      <c r="S50" s="115"/>
      <c r="T50" s="116"/>
      <c r="U50" s="116" t="s">
        <v>0</v>
      </c>
      <c r="V50" s="40">
        <v>2422020</v>
      </c>
      <c r="W50" s="40"/>
      <c r="X50" s="40"/>
      <c r="Y50" s="40" t="s">
        <v>161</v>
      </c>
      <c r="Z50" s="70">
        <f>SUM(P48:P59)</f>
        <v>889.9022339476486</v>
      </c>
    </row>
    <row r="51" spans="1:28" ht="15" customHeight="1" x14ac:dyDescent="0.25">
      <c r="A51" s="29"/>
      <c r="B51" s="33"/>
      <c r="C51" s="31"/>
      <c r="D51" s="31"/>
      <c r="E51" s="31"/>
      <c r="F51" s="31"/>
      <c r="G51" s="31"/>
      <c r="H51" s="31"/>
      <c r="I51" s="31"/>
      <c r="J51" s="28">
        <v>27</v>
      </c>
      <c r="K51" s="33">
        <v>44835</v>
      </c>
      <c r="L51" s="31">
        <f t="shared" si="20"/>
        <v>4553.0291666666672</v>
      </c>
      <c r="M51" s="31">
        <f t="shared" si="12"/>
        <v>4199.283938455691</v>
      </c>
      <c r="N51" s="31">
        <f t="shared" si="13"/>
        <v>4112.2063253140868</v>
      </c>
      <c r="O51" s="31">
        <f t="shared" si="18"/>
        <v>32897.65060251276</v>
      </c>
      <c r="P51" s="31">
        <f t="shared" si="14"/>
        <v>107.81214953262754</v>
      </c>
      <c r="Q51" s="32">
        <f t="shared" si="19"/>
        <v>36045.19532707514</v>
      </c>
      <c r="S51" s="115"/>
      <c r="T51" s="116"/>
      <c r="U51" s="116" t="s">
        <v>1</v>
      </c>
      <c r="V51" s="40"/>
      <c r="W51" s="40"/>
      <c r="X51" s="40"/>
      <c r="Y51" s="40" t="s">
        <v>31</v>
      </c>
      <c r="Z51" s="70">
        <f>SUM(L48:L59)</f>
        <v>54636.350000000006</v>
      </c>
    </row>
    <row r="52" spans="1:28" ht="15" customHeight="1" thickBot="1" x14ac:dyDescent="0.3">
      <c r="A52" s="29"/>
      <c r="B52" s="33"/>
      <c r="C52" s="31"/>
      <c r="D52" s="31"/>
      <c r="E52" s="31"/>
      <c r="F52" s="31"/>
      <c r="G52" s="31"/>
      <c r="H52" s="31"/>
      <c r="I52" s="31"/>
      <c r="J52" s="28">
        <v>28</v>
      </c>
      <c r="K52" s="33">
        <v>44866</v>
      </c>
      <c r="L52" s="31">
        <f t="shared" si="20"/>
        <v>4553.0291666666672</v>
      </c>
      <c r="M52" s="31">
        <f t="shared" si="12"/>
        <v>4186.7237671542289</v>
      </c>
      <c r="N52" s="31">
        <f t="shared" si="13"/>
        <v>4112.2063253140868</v>
      </c>
      <c r="O52" s="31">
        <f t="shared" si="18"/>
        <v>28785.444277198672</v>
      </c>
      <c r="P52" s="31">
        <f t="shared" si="14"/>
        <v>94.47649848122542</v>
      </c>
      <c r="Q52" s="32">
        <f t="shared" si="19"/>
        <v>31586.642658889697</v>
      </c>
      <c r="S52" s="194" t="s">
        <v>123</v>
      </c>
      <c r="T52" s="195"/>
      <c r="U52" s="195"/>
      <c r="V52" s="195"/>
      <c r="W52" s="195"/>
      <c r="X52" s="195"/>
      <c r="Y52" s="195"/>
      <c r="Z52" s="196"/>
    </row>
    <row r="53" spans="1:28" ht="15" customHeight="1" x14ac:dyDescent="0.25">
      <c r="A53" s="29"/>
      <c r="B53" s="29"/>
      <c r="C53" s="29"/>
      <c r="D53" s="29"/>
      <c r="E53" s="29"/>
      <c r="F53" s="29"/>
      <c r="G53" s="29"/>
      <c r="H53" s="29"/>
      <c r="I53" s="31"/>
      <c r="J53" s="28">
        <v>29</v>
      </c>
      <c r="K53" s="33">
        <v>44896</v>
      </c>
      <c r="L53" s="31">
        <f t="shared" si="20"/>
        <v>4553.0291666666672</v>
      </c>
      <c r="M53" s="31">
        <f t="shared" si="12"/>
        <v>4174.2011636632405</v>
      </c>
      <c r="N53" s="31">
        <f t="shared" si="13"/>
        <v>4112.2063253140868</v>
      </c>
      <c r="O53" s="31">
        <f t="shared" si="18"/>
        <v>24673.237951884585</v>
      </c>
      <c r="P53" s="31">
        <f t="shared" si="14"/>
        <v>81.100840476669092</v>
      </c>
      <c r="Q53" s="32">
        <f t="shared" si="19"/>
        <v>27114.714332699699</v>
      </c>
    </row>
    <row r="54" spans="1:28" ht="15" customHeight="1" x14ac:dyDescent="0.25">
      <c r="A54" s="29"/>
      <c r="B54" s="33"/>
      <c r="C54" s="31"/>
      <c r="D54" s="31"/>
      <c r="E54" s="31"/>
      <c r="F54" s="31"/>
      <c r="G54" s="31"/>
      <c r="H54" s="31"/>
      <c r="I54" s="31"/>
      <c r="J54" s="28">
        <v>30</v>
      </c>
      <c r="K54" s="33">
        <v>44927</v>
      </c>
      <c r="L54" s="31">
        <f t="shared" si="20"/>
        <v>4553.0291666666672</v>
      </c>
      <c r="M54" s="31">
        <f t="shared" si="12"/>
        <v>4161.7160156163918</v>
      </c>
      <c r="N54" s="31">
        <f t="shared" si="13"/>
        <v>4112.2063253140868</v>
      </c>
      <c r="O54" s="31">
        <f t="shared" si="18"/>
        <v>20561.031626570497</v>
      </c>
      <c r="P54" s="31">
        <f t="shared" si="14"/>
        <v>67.685055498099103</v>
      </c>
      <c r="Q54" s="32">
        <f t="shared" si="19"/>
        <v>22629.370221531131</v>
      </c>
    </row>
    <row r="55" spans="1:28" ht="15" customHeight="1" x14ac:dyDescent="0.25">
      <c r="A55" s="29"/>
      <c r="B55" s="33"/>
      <c r="C55" s="31"/>
      <c r="D55" s="31"/>
      <c r="E55" s="31"/>
      <c r="F55" s="31"/>
      <c r="G55" s="31"/>
      <c r="H55" s="31"/>
      <c r="I55" s="31"/>
      <c r="J55" s="28">
        <v>31</v>
      </c>
      <c r="K55" s="33">
        <v>44958</v>
      </c>
      <c r="L55" s="31">
        <f t="shared" si="20"/>
        <v>4553.0291666666672</v>
      </c>
      <c r="M55" s="31">
        <f t="shared" si="12"/>
        <v>4149.2682109834423</v>
      </c>
      <c r="N55" s="31">
        <f t="shared" si="13"/>
        <v>4112.2063253140868</v>
      </c>
      <c r="O55" s="31">
        <f t="shared" si="18"/>
        <v>16448.825301256409</v>
      </c>
      <c r="P55" s="31">
        <f t="shared" si="14"/>
        <v>54.229023164593393</v>
      </c>
      <c r="Q55" s="32">
        <f t="shared" si="19"/>
        <v>18130.570078029057</v>
      </c>
    </row>
    <row r="56" spans="1:28" ht="15" customHeight="1" x14ac:dyDescent="0.25">
      <c r="A56" s="29"/>
      <c r="B56" s="33"/>
      <c r="C56" s="31"/>
      <c r="D56" s="31"/>
      <c r="E56" s="31"/>
      <c r="F56" s="31"/>
      <c r="G56" s="31"/>
      <c r="H56" s="31"/>
      <c r="I56" s="31"/>
      <c r="J56" s="28">
        <v>32</v>
      </c>
      <c r="K56" s="33">
        <v>44986</v>
      </c>
      <c r="L56" s="31">
        <f t="shared" si="20"/>
        <v>4553.0291666666672</v>
      </c>
      <c r="M56" s="31">
        <f t="shared" si="12"/>
        <v>4136.8576380692348</v>
      </c>
      <c r="N56" s="31">
        <f t="shared" si="13"/>
        <v>4112.2063253140868</v>
      </c>
      <c r="O56" s="31">
        <f t="shared" si="18"/>
        <v>12336.618975942321</v>
      </c>
      <c r="P56" s="31">
        <f t="shared" si="14"/>
        <v>40.732622734087172</v>
      </c>
      <c r="Q56" s="32">
        <f t="shared" si="19"/>
        <v>13618.273534096477</v>
      </c>
    </row>
    <row r="57" spans="1:28" ht="15" customHeight="1" x14ac:dyDescent="0.25">
      <c r="A57" s="29"/>
      <c r="B57" s="33"/>
      <c r="C57" s="31"/>
      <c r="D57" s="31"/>
      <c r="E57" s="31"/>
      <c r="F57" s="31"/>
      <c r="G57" s="31"/>
      <c r="H57" s="31"/>
      <c r="I57" s="31"/>
      <c r="J57" s="28">
        <v>33</v>
      </c>
      <c r="K57" s="33">
        <v>45017</v>
      </c>
      <c r="L57" s="31">
        <f t="shared" si="20"/>
        <v>4553.0291666666672</v>
      </c>
      <c r="M57" s="31">
        <f t="shared" si="12"/>
        <v>4124.4841855126979</v>
      </c>
      <c r="N57" s="31">
        <f t="shared" si="13"/>
        <v>4112.2063253140868</v>
      </c>
      <c r="O57" s="31">
        <f t="shared" si="18"/>
        <v>8224.4126506282337</v>
      </c>
      <c r="P57" s="31">
        <f t="shared" si="14"/>
        <v>27.195733102289431</v>
      </c>
      <c r="Q57" s="32">
        <f t="shared" si="19"/>
        <v>9092.4401005320997</v>
      </c>
    </row>
    <row r="58" spans="1:28" ht="15" customHeight="1" x14ac:dyDescent="0.25">
      <c r="A58" s="29"/>
      <c r="B58" s="33"/>
      <c r="C58" s="31"/>
      <c r="D58" s="31"/>
      <c r="E58" s="31"/>
      <c r="F58" s="31"/>
      <c r="G58" s="31"/>
      <c r="H58" s="31"/>
      <c r="I58" s="31"/>
      <c r="J58" s="28">
        <v>34</v>
      </c>
      <c r="K58" s="33">
        <v>45047</v>
      </c>
      <c r="L58" s="31">
        <f t="shared" si="20"/>
        <v>4553.0291666666672</v>
      </c>
      <c r="M58" s="31">
        <f t="shared" si="12"/>
        <v>4112.1477422858397</v>
      </c>
      <c r="N58" s="31">
        <f t="shared" si="13"/>
        <v>4112.2063253140868</v>
      </c>
      <c r="O58" s="31">
        <f t="shared" si="18"/>
        <v>4112.2063253141469</v>
      </c>
      <c r="P58" s="31">
        <f t="shared" si="14"/>
        <v>13.618232801596298</v>
      </c>
      <c r="Q58" s="32">
        <f t="shared" si="19"/>
        <v>4553.0291666670291</v>
      </c>
    </row>
    <row r="59" spans="1:28" ht="15" customHeight="1" x14ac:dyDescent="0.25">
      <c r="A59" s="29"/>
      <c r="B59" s="33"/>
      <c r="C59" s="31"/>
      <c r="D59" s="31"/>
      <c r="E59" s="31"/>
      <c r="F59" s="31"/>
      <c r="G59" s="31"/>
      <c r="H59" s="31"/>
      <c r="I59" s="31"/>
      <c r="J59" s="28">
        <v>35</v>
      </c>
      <c r="K59" s="33">
        <v>45078</v>
      </c>
      <c r="L59" s="31">
        <f t="shared" si="20"/>
        <v>4553.0291666666672</v>
      </c>
      <c r="M59" s="31">
        <f>+L59/(1+M$1)^J59</f>
        <v>4099.8481976927624</v>
      </c>
      <c r="N59" s="31">
        <f t="shared" si="13"/>
        <v>4112.2063253140868</v>
      </c>
      <c r="O59" s="31">
        <f t="shared" si="18"/>
        <v>6.0026650317013264E-11</v>
      </c>
      <c r="P59" s="31">
        <f t="shared" si="14"/>
        <v>1.0859366739168763E-12</v>
      </c>
      <c r="Q59" s="32">
        <f t="shared" si="19"/>
        <v>3.6306482797954233E-10</v>
      </c>
    </row>
    <row r="60" spans="1:28" ht="15" customHeight="1" thickBot="1" x14ac:dyDescent="0.3">
      <c r="A60" s="29"/>
      <c r="I60" s="29"/>
      <c r="J60" s="35"/>
      <c r="K60" s="36"/>
      <c r="L60" s="37">
        <f>SUM(L24:L59)</f>
        <v>159181.35000000012</v>
      </c>
      <c r="M60" s="37">
        <f>SUM(M24:M59)</f>
        <v>151017.92744923866</v>
      </c>
      <c r="N60" s="37">
        <f>SUM(N24:N59)</f>
        <v>148039.42771130707</v>
      </c>
      <c r="O60" s="37"/>
      <c r="P60" s="37">
        <f>SUM(P24:P59)</f>
        <v>8163.4225507617266</v>
      </c>
      <c r="Q60" s="114"/>
    </row>
    <row r="61" spans="1:28" ht="13.5" customHeight="1" thickBot="1" x14ac:dyDescent="0.3">
      <c r="J61" s="29"/>
      <c r="K61" s="29"/>
      <c r="L61" s="30"/>
      <c r="M61" s="30"/>
      <c r="N61" s="30"/>
      <c r="O61" s="30"/>
      <c r="P61" s="30"/>
      <c r="Q61" s="30"/>
      <c r="S61" s="187"/>
      <c r="T61" s="187"/>
      <c r="U61" s="187"/>
      <c r="V61" s="184"/>
      <c r="W61" s="184"/>
      <c r="X61" s="184"/>
      <c r="Y61" s="184"/>
      <c r="Z61" s="75"/>
    </row>
    <row r="62" spans="1:28" ht="13.5" customHeight="1" x14ac:dyDescent="0.25">
      <c r="A62" s="332" t="s">
        <v>278</v>
      </c>
      <c r="B62" s="333"/>
      <c r="C62" s="333"/>
      <c r="D62" s="333"/>
      <c r="E62" s="333"/>
      <c r="F62" s="333"/>
      <c r="G62" s="333"/>
      <c r="H62" s="333"/>
      <c r="I62" s="333"/>
      <c r="J62" s="333"/>
      <c r="K62" s="333"/>
      <c r="L62" s="333"/>
      <c r="M62" s="333"/>
      <c r="N62" s="333"/>
      <c r="O62" s="333"/>
      <c r="P62" s="333"/>
      <c r="Q62" s="333"/>
      <c r="R62" s="333"/>
      <c r="S62" s="333"/>
      <c r="T62" s="333"/>
      <c r="U62" s="333"/>
      <c r="V62" s="333"/>
      <c r="W62" s="333"/>
      <c r="X62" s="333"/>
      <c r="Y62" s="333"/>
      <c r="Z62" s="334"/>
      <c r="AA62" s="190"/>
      <c r="AB62" s="190"/>
    </row>
    <row r="63" spans="1:28" ht="13.5" customHeight="1" x14ac:dyDescent="0.25">
      <c r="A63" s="317" t="s">
        <v>441</v>
      </c>
      <c r="B63" s="318"/>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9"/>
      <c r="AA63" s="189"/>
      <c r="AB63" s="189"/>
    </row>
    <row r="64" spans="1:28" ht="13.5" customHeight="1" thickBot="1" x14ac:dyDescent="0.3">
      <c r="A64" s="396" t="s">
        <v>280</v>
      </c>
      <c r="B64" s="397"/>
      <c r="C64" s="397"/>
      <c r="D64" s="397"/>
      <c r="E64" s="397"/>
      <c r="F64" s="397"/>
      <c r="G64" s="397"/>
      <c r="H64" s="397"/>
      <c r="I64" s="397"/>
      <c r="J64" s="397"/>
      <c r="K64" s="397"/>
      <c r="L64" s="397"/>
      <c r="M64" s="397"/>
      <c r="N64" s="397"/>
      <c r="O64" s="397"/>
      <c r="P64" s="397"/>
      <c r="Q64" s="397"/>
      <c r="R64" s="397"/>
      <c r="S64" s="397"/>
      <c r="T64" s="397"/>
      <c r="U64" s="397"/>
      <c r="V64" s="397"/>
      <c r="W64" s="397"/>
      <c r="X64" s="397"/>
      <c r="Y64" s="397"/>
      <c r="Z64" s="398"/>
    </row>
    <row r="65" spans="1:26" ht="13.5" customHeight="1" x14ac:dyDescent="0.25">
      <c r="J65" s="29"/>
      <c r="K65" s="29"/>
      <c r="L65" s="30"/>
      <c r="M65" s="30"/>
      <c r="N65" s="30"/>
      <c r="O65" s="30"/>
      <c r="P65" s="30"/>
      <c r="Q65" s="30"/>
      <c r="S65" s="187"/>
      <c r="T65" s="187"/>
      <c r="U65" s="187"/>
      <c r="V65" s="184"/>
      <c r="W65" s="184"/>
      <c r="X65" s="184"/>
      <c r="Y65" s="184"/>
      <c r="Z65" s="75"/>
    </row>
    <row r="66" spans="1:26" ht="6.75" customHeight="1" thickBot="1" x14ac:dyDescent="0.3"/>
    <row r="67" spans="1:26" ht="16.5" customHeight="1" x14ac:dyDescent="0.25">
      <c r="A67" s="376" t="s">
        <v>223</v>
      </c>
      <c r="B67" s="377"/>
      <c r="C67" s="377"/>
      <c r="D67" s="377"/>
      <c r="E67" s="377"/>
      <c r="F67" s="377"/>
      <c r="G67" s="377"/>
      <c r="H67" s="377"/>
      <c r="I67" s="377"/>
      <c r="J67" s="377"/>
      <c r="K67" s="377"/>
      <c r="L67" s="377"/>
      <c r="M67" s="377"/>
      <c r="N67" s="377"/>
      <c r="O67" s="377"/>
      <c r="P67" s="377"/>
      <c r="Q67" s="377"/>
      <c r="R67" s="377"/>
      <c r="S67" s="377"/>
      <c r="T67" s="377"/>
      <c r="U67" s="377"/>
      <c r="V67" s="377"/>
      <c r="W67" s="377"/>
      <c r="X67" s="377"/>
      <c r="Y67" s="377"/>
      <c r="Z67" s="378"/>
    </row>
    <row r="68" spans="1:26" ht="8.25" customHeight="1" x14ac:dyDescent="0.25">
      <c r="A68" s="390"/>
      <c r="B68" s="391"/>
      <c r="C68" s="391"/>
      <c r="D68" s="391"/>
      <c r="E68" s="391"/>
      <c r="F68" s="391"/>
      <c r="G68" s="391"/>
      <c r="H68" s="391"/>
      <c r="I68" s="391"/>
      <c r="J68" s="391"/>
      <c r="K68" s="391"/>
      <c r="L68" s="391"/>
      <c r="M68" s="391"/>
      <c r="N68" s="391"/>
      <c r="O68" s="391"/>
      <c r="P68" s="391"/>
      <c r="Q68" s="391"/>
      <c r="R68" s="391"/>
      <c r="S68" s="391"/>
      <c r="T68" s="391"/>
      <c r="U68" s="391"/>
      <c r="V68" s="391"/>
      <c r="W68" s="391"/>
      <c r="X68" s="391"/>
      <c r="Y68" s="391"/>
      <c r="Z68" s="392"/>
    </row>
    <row r="69" spans="1:26" ht="14.25" customHeight="1" x14ac:dyDescent="0.25">
      <c r="A69" s="387" t="s">
        <v>224</v>
      </c>
      <c r="B69" s="388"/>
      <c r="C69" s="388"/>
      <c r="D69" s="388"/>
      <c r="E69" s="388"/>
      <c r="F69" s="388"/>
      <c r="G69" s="388"/>
      <c r="H69" s="388"/>
      <c r="I69" s="388"/>
      <c r="J69" s="388"/>
      <c r="K69" s="388"/>
      <c r="L69" s="388"/>
      <c r="M69" s="388"/>
      <c r="N69" s="388"/>
      <c r="O69" s="388"/>
      <c r="P69" s="388"/>
      <c r="Q69" s="388"/>
      <c r="R69" s="388"/>
      <c r="S69" s="388"/>
      <c r="T69" s="388"/>
      <c r="U69" s="388"/>
      <c r="V69" s="388"/>
      <c r="W69" s="388"/>
      <c r="X69" s="388"/>
      <c r="Y69" s="388"/>
      <c r="Z69" s="389"/>
    </row>
    <row r="70" spans="1:26" ht="15" customHeight="1" x14ac:dyDescent="0.25">
      <c r="A70" s="387" t="s">
        <v>214</v>
      </c>
      <c r="B70" s="388"/>
      <c r="C70" s="388"/>
      <c r="D70" s="388"/>
      <c r="E70" s="388"/>
      <c r="F70" s="388"/>
      <c r="G70" s="388"/>
      <c r="H70" s="388"/>
      <c r="I70" s="388"/>
      <c r="J70" s="388"/>
      <c r="K70" s="388"/>
      <c r="L70" s="388"/>
      <c r="M70" s="388"/>
      <c r="N70" s="388"/>
      <c r="O70" s="388"/>
      <c r="P70" s="388"/>
      <c r="Q70" s="388"/>
      <c r="R70" s="388"/>
      <c r="S70" s="388"/>
      <c r="T70" s="388"/>
      <c r="U70" s="388"/>
      <c r="V70" s="388"/>
      <c r="W70" s="388"/>
      <c r="X70" s="388"/>
      <c r="Y70" s="388"/>
      <c r="Z70" s="389"/>
    </row>
    <row r="71" spans="1:26" ht="15" customHeight="1" x14ac:dyDescent="0.25">
      <c r="A71" s="405" t="s">
        <v>242</v>
      </c>
      <c r="B71" s="406"/>
      <c r="C71" s="406"/>
      <c r="D71" s="406"/>
      <c r="E71" s="406"/>
      <c r="F71" s="406"/>
      <c r="G71" s="406"/>
      <c r="H71" s="406"/>
      <c r="I71" s="406"/>
      <c r="J71" s="406"/>
      <c r="K71" s="406"/>
      <c r="L71" s="406"/>
      <c r="M71" s="406"/>
      <c r="N71" s="406"/>
      <c r="O71" s="406"/>
      <c r="P71" s="406"/>
      <c r="Q71" s="406"/>
      <c r="R71" s="406"/>
      <c r="S71" s="406"/>
      <c r="T71" s="406"/>
      <c r="U71" s="406"/>
      <c r="V71" s="406"/>
      <c r="W71" s="406"/>
      <c r="X71" s="406"/>
      <c r="Y71" s="406"/>
      <c r="Z71" s="407"/>
    </row>
    <row r="72" spans="1:26" ht="15" customHeight="1" x14ac:dyDescent="0.25">
      <c r="A72" s="387" t="s">
        <v>212</v>
      </c>
      <c r="B72" s="388"/>
      <c r="C72" s="388"/>
      <c r="D72" s="388"/>
      <c r="E72" s="388"/>
      <c r="F72" s="388"/>
      <c r="G72" s="388"/>
      <c r="H72" s="388"/>
      <c r="I72" s="388"/>
      <c r="J72" s="388"/>
      <c r="K72" s="388"/>
      <c r="L72" s="388"/>
      <c r="M72" s="388"/>
      <c r="N72" s="388"/>
      <c r="O72" s="388"/>
      <c r="P72" s="388"/>
      <c r="Q72" s="388"/>
      <c r="R72" s="388"/>
      <c r="S72" s="388"/>
      <c r="T72" s="388"/>
      <c r="U72" s="388"/>
      <c r="V72" s="388"/>
      <c r="W72" s="388"/>
      <c r="X72" s="388"/>
      <c r="Y72" s="388"/>
      <c r="Z72" s="389"/>
    </row>
    <row r="73" spans="1:26" ht="45.75" customHeight="1" x14ac:dyDescent="0.25">
      <c r="A73" s="402" t="s">
        <v>213</v>
      </c>
      <c r="B73" s="403"/>
      <c r="C73" s="403"/>
      <c r="D73" s="403"/>
      <c r="E73" s="403"/>
      <c r="F73" s="403"/>
      <c r="G73" s="403"/>
      <c r="H73" s="403"/>
      <c r="I73" s="403"/>
      <c r="J73" s="403"/>
      <c r="K73" s="403"/>
      <c r="L73" s="403"/>
      <c r="M73" s="403"/>
      <c r="N73" s="403"/>
      <c r="O73" s="403"/>
      <c r="P73" s="403"/>
      <c r="Q73" s="403"/>
      <c r="R73" s="403"/>
      <c r="S73" s="403"/>
      <c r="T73" s="403"/>
      <c r="U73" s="403"/>
      <c r="V73" s="403"/>
      <c r="W73" s="403"/>
      <c r="X73" s="403"/>
      <c r="Y73" s="403"/>
      <c r="Z73" s="404"/>
    </row>
    <row r="74" spans="1:26" ht="69" customHeight="1" x14ac:dyDescent="0.25">
      <c r="A74" s="370" t="s">
        <v>211</v>
      </c>
      <c r="B74" s="379"/>
      <c r="C74" s="379"/>
      <c r="D74" s="379"/>
      <c r="E74" s="379"/>
      <c r="F74" s="379"/>
      <c r="G74" s="379"/>
      <c r="H74" s="379"/>
      <c r="I74" s="379"/>
      <c r="J74" s="379"/>
      <c r="K74" s="379"/>
      <c r="L74" s="379"/>
      <c r="M74" s="379"/>
      <c r="N74" s="379"/>
      <c r="O74" s="379"/>
      <c r="P74" s="379"/>
      <c r="Q74" s="379"/>
      <c r="R74" s="379"/>
      <c r="S74" s="379"/>
      <c r="T74" s="379"/>
      <c r="U74" s="379"/>
      <c r="V74" s="379"/>
      <c r="W74" s="379"/>
      <c r="X74" s="379"/>
      <c r="Y74" s="379"/>
      <c r="Z74" s="380"/>
    </row>
    <row r="75" spans="1:26" ht="8.25" customHeight="1" x14ac:dyDescent="0.25">
      <c r="A75" s="200"/>
      <c r="B75" s="201"/>
      <c r="C75" s="201"/>
      <c r="D75" s="201"/>
      <c r="E75" s="201"/>
      <c r="F75" s="201"/>
      <c r="G75" s="201"/>
      <c r="H75" s="201"/>
      <c r="I75" s="201"/>
      <c r="J75" s="201"/>
      <c r="K75" s="201"/>
      <c r="L75" s="201"/>
      <c r="M75" s="201"/>
      <c r="N75" s="201"/>
      <c r="O75" s="201"/>
      <c r="P75" s="201"/>
      <c r="Q75" s="201"/>
      <c r="R75" s="201"/>
      <c r="S75" s="201"/>
      <c r="T75" s="201"/>
      <c r="U75" s="201"/>
      <c r="V75" s="201"/>
      <c r="W75" s="201"/>
      <c r="X75" s="201"/>
      <c r="Y75" s="201"/>
      <c r="Z75" s="202"/>
    </row>
    <row r="76" spans="1:26" ht="13.5" customHeight="1" x14ac:dyDescent="0.25">
      <c r="A76" s="408" t="s">
        <v>344</v>
      </c>
      <c r="B76" s="409"/>
      <c r="C76" s="409"/>
      <c r="D76" s="409"/>
      <c r="E76" s="409"/>
      <c r="F76" s="409"/>
      <c r="G76" s="409"/>
      <c r="H76" s="409"/>
      <c r="I76" s="409"/>
      <c r="J76" s="409"/>
      <c r="K76" s="409"/>
      <c r="L76" s="409"/>
      <c r="M76" s="409"/>
      <c r="N76" s="409"/>
      <c r="O76" s="409"/>
      <c r="P76" s="409"/>
      <c r="Q76" s="409"/>
      <c r="R76" s="409"/>
      <c r="S76" s="409"/>
      <c r="T76" s="409"/>
      <c r="U76" s="409"/>
      <c r="V76" s="409"/>
      <c r="W76" s="409"/>
      <c r="X76" s="409"/>
      <c r="Y76" s="409"/>
      <c r="Z76" s="410"/>
    </row>
    <row r="77" spans="1:26" ht="8.25" customHeight="1" x14ac:dyDescent="0.25">
      <c r="A77" s="203"/>
      <c r="B77" s="204"/>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5"/>
    </row>
    <row r="78" spans="1:26" ht="13.5" customHeight="1" x14ac:dyDescent="0.25">
      <c r="A78" s="408" t="s">
        <v>345</v>
      </c>
      <c r="B78" s="409"/>
      <c r="C78" s="409"/>
      <c r="D78" s="409"/>
      <c r="E78" s="409"/>
      <c r="F78" s="409"/>
      <c r="G78" s="409"/>
      <c r="H78" s="409"/>
      <c r="I78" s="409"/>
      <c r="J78" s="409"/>
      <c r="K78" s="409"/>
      <c r="L78" s="409"/>
      <c r="M78" s="409"/>
      <c r="N78" s="409"/>
      <c r="O78" s="409"/>
      <c r="P78" s="409"/>
      <c r="Q78" s="409"/>
      <c r="R78" s="409"/>
      <c r="S78" s="409"/>
      <c r="T78" s="409"/>
      <c r="U78" s="409"/>
      <c r="V78" s="409"/>
      <c r="W78" s="409"/>
      <c r="X78" s="409"/>
      <c r="Y78" s="409"/>
      <c r="Z78" s="410"/>
    </row>
    <row r="79" spans="1:26" ht="8.25" customHeight="1" x14ac:dyDescent="0.25">
      <c r="A79" s="367"/>
      <c r="B79" s="368"/>
      <c r="C79" s="368"/>
      <c r="D79" s="368"/>
      <c r="E79" s="368"/>
      <c r="F79" s="368"/>
      <c r="G79" s="368"/>
      <c r="H79" s="368"/>
      <c r="I79" s="368"/>
      <c r="J79" s="368"/>
      <c r="K79" s="368"/>
      <c r="L79" s="368"/>
      <c r="M79" s="368"/>
      <c r="N79" s="368"/>
      <c r="O79" s="368"/>
      <c r="P79" s="368"/>
      <c r="Q79" s="368"/>
      <c r="R79" s="368"/>
      <c r="S79" s="368"/>
      <c r="T79" s="368"/>
      <c r="U79" s="368"/>
      <c r="V79" s="368"/>
      <c r="W79" s="368"/>
      <c r="X79" s="368"/>
      <c r="Y79" s="368"/>
      <c r="Z79" s="369"/>
    </row>
    <row r="80" spans="1:26" ht="94.5" customHeight="1" x14ac:dyDescent="0.25">
      <c r="A80" s="370" t="s">
        <v>346</v>
      </c>
      <c r="B80" s="371"/>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2"/>
    </row>
    <row r="81" spans="1:26" ht="8.25" customHeight="1" x14ac:dyDescent="0.25">
      <c r="A81" s="367"/>
      <c r="B81" s="368"/>
      <c r="C81" s="368"/>
      <c r="D81" s="368"/>
      <c r="E81" s="368"/>
      <c r="F81" s="368"/>
      <c r="G81" s="368"/>
      <c r="H81" s="368"/>
      <c r="I81" s="368"/>
      <c r="J81" s="368"/>
      <c r="K81" s="368"/>
      <c r="L81" s="368"/>
      <c r="M81" s="368"/>
      <c r="N81" s="368"/>
      <c r="O81" s="368"/>
      <c r="P81" s="368"/>
      <c r="Q81" s="368"/>
      <c r="R81" s="368"/>
      <c r="S81" s="368"/>
      <c r="T81" s="368"/>
      <c r="U81" s="368"/>
      <c r="V81" s="368"/>
      <c r="W81" s="368"/>
      <c r="X81" s="368"/>
      <c r="Y81" s="368"/>
      <c r="Z81" s="369"/>
    </row>
    <row r="82" spans="1:26" ht="35.25" customHeight="1" x14ac:dyDescent="0.25">
      <c r="A82" s="370" t="s">
        <v>347</v>
      </c>
      <c r="B82" s="371"/>
      <c r="C82" s="371"/>
      <c r="D82" s="371"/>
      <c r="E82" s="371"/>
      <c r="F82" s="371"/>
      <c r="G82" s="371"/>
      <c r="H82" s="371"/>
      <c r="I82" s="371"/>
      <c r="J82" s="371"/>
      <c r="K82" s="371"/>
      <c r="L82" s="371"/>
      <c r="M82" s="371"/>
      <c r="N82" s="371"/>
      <c r="O82" s="371"/>
      <c r="P82" s="371"/>
      <c r="Q82" s="371"/>
      <c r="R82" s="371"/>
      <c r="S82" s="371"/>
      <c r="T82" s="371"/>
      <c r="U82" s="371"/>
      <c r="V82" s="371"/>
      <c r="W82" s="371"/>
      <c r="X82" s="371"/>
      <c r="Y82" s="371"/>
      <c r="Z82" s="372"/>
    </row>
    <row r="83" spans="1:26" ht="14.25" customHeight="1" x14ac:dyDescent="0.25">
      <c r="A83" s="367"/>
      <c r="B83" s="368"/>
      <c r="C83" s="368"/>
      <c r="D83" s="368"/>
      <c r="E83" s="368"/>
      <c r="F83" s="368"/>
      <c r="G83" s="368"/>
      <c r="H83" s="368"/>
      <c r="I83" s="368"/>
      <c r="J83" s="368"/>
      <c r="K83" s="368"/>
      <c r="L83" s="368"/>
      <c r="M83" s="368"/>
      <c r="N83" s="368"/>
      <c r="O83" s="368"/>
      <c r="P83" s="368"/>
      <c r="Q83" s="368"/>
      <c r="R83" s="368"/>
      <c r="S83" s="368"/>
      <c r="T83" s="368"/>
      <c r="U83" s="368"/>
      <c r="V83" s="368"/>
      <c r="W83" s="368"/>
      <c r="X83" s="368"/>
      <c r="Y83" s="368"/>
      <c r="Z83" s="369"/>
    </row>
    <row r="84" spans="1:26" ht="15.75" customHeight="1" x14ac:dyDescent="0.25">
      <c r="A84" s="370" t="s">
        <v>227</v>
      </c>
      <c r="B84" s="371"/>
      <c r="C84" s="371"/>
      <c r="D84" s="371"/>
      <c r="E84" s="371"/>
      <c r="F84" s="371"/>
      <c r="G84" s="371"/>
      <c r="H84" s="371"/>
      <c r="I84" s="371"/>
      <c r="J84" s="371"/>
      <c r="K84" s="371"/>
      <c r="L84" s="371"/>
      <c r="M84" s="371"/>
      <c r="N84" s="371"/>
      <c r="O84" s="371"/>
      <c r="P84" s="371"/>
      <c r="Q84" s="371"/>
      <c r="R84" s="371"/>
      <c r="S84" s="371"/>
      <c r="T84" s="371"/>
      <c r="U84" s="371"/>
      <c r="V84" s="371"/>
      <c r="W84" s="371"/>
      <c r="X84" s="371"/>
      <c r="Y84" s="371"/>
      <c r="Z84" s="372"/>
    </row>
    <row r="85" spans="1:26" ht="15.75" customHeight="1" x14ac:dyDescent="0.25">
      <c r="A85" s="370" t="s">
        <v>225</v>
      </c>
      <c r="B85" s="371"/>
      <c r="C85" s="371"/>
      <c r="D85" s="371"/>
      <c r="E85" s="371"/>
      <c r="F85" s="371"/>
      <c r="G85" s="371"/>
      <c r="H85" s="371"/>
      <c r="I85" s="371"/>
      <c r="J85" s="371"/>
      <c r="K85" s="371"/>
      <c r="L85" s="371"/>
      <c r="M85" s="371"/>
      <c r="N85" s="371"/>
      <c r="O85" s="371"/>
      <c r="P85" s="371"/>
      <c r="Q85" s="371"/>
      <c r="R85" s="371"/>
      <c r="S85" s="371"/>
      <c r="T85" s="371"/>
      <c r="U85" s="371"/>
      <c r="V85" s="371"/>
      <c r="W85" s="371"/>
      <c r="X85" s="371"/>
      <c r="Y85" s="371"/>
      <c r="Z85" s="372"/>
    </row>
    <row r="86" spans="1:26" ht="15.75" thickBot="1" x14ac:dyDescent="0.3">
      <c r="A86" s="399"/>
      <c r="B86" s="400"/>
      <c r="C86" s="400"/>
      <c r="D86" s="400"/>
      <c r="E86" s="400"/>
      <c r="F86" s="400"/>
      <c r="G86" s="400"/>
      <c r="H86" s="400"/>
      <c r="I86" s="400"/>
      <c r="J86" s="400"/>
      <c r="K86" s="400"/>
      <c r="L86" s="400"/>
      <c r="M86" s="400"/>
      <c r="N86" s="400"/>
      <c r="O86" s="400"/>
      <c r="P86" s="400"/>
      <c r="Q86" s="400"/>
      <c r="R86" s="400"/>
      <c r="S86" s="400"/>
      <c r="T86" s="400"/>
      <c r="U86" s="400"/>
      <c r="V86" s="400"/>
      <c r="W86" s="400"/>
      <c r="X86" s="400"/>
      <c r="Y86" s="400"/>
      <c r="Z86" s="401"/>
    </row>
    <row r="134" spans="6:25" x14ac:dyDescent="0.25">
      <c r="F134" s="72"/>
      <c r="G134" s="72"/>
      <c r="H134" s="72"/>
      <c r="I134" s="72"/>
      <c r="J134" s="72"/>
      <c r="K134" s="72"/>
      <c r="L134" s="72"/>
      <c r="M134" s="72"/>
      <c r="N134" s="72"/>
      <c r="O134" s="72"/>
      <c r="P134" s="72"/>
      <c r="Q134" s="72"/>
      <c r="R134" s="72"/>
      <c r="S134" s="72"/>
      <c r="T134" s="72"/>
      <c r="U134" s="72"/>
      <c r="V134" s="72"/>
      <c r="W134" s="72"/>
      <c r="X134" s="72"/>
      <c r="Y134" s="72"/>
    </row>
  </sheetData>
  <mergeCells count="27">
    <mergeCell ref="A86:Z86"/>
    <mergeCell ref="J8:Q8"/>
    <mergeCell ref="C8:H8"/>
    <mergeCell ref="A70:Z70"/>
    <mergeCell ref="A73:Z73"/>
    <mergeCell ref="A71:Z71"/>
    <mergeCell ref="A72:Z72"/>
    <mergeCell ref="A83:Z83"/>
    <mergeCell ref="A84:Z84"/>
    <mergeCell ref="A85:Z85"/>
    <mergeCell ref="A81:Z81"/>
    <mergeCell ref="A82:Z82"/>
    <mergeCell ref="A62:Z62"/>
    <mergeCell ref="A63:Z63"/>
    <mergeCell ref="A76:Z76"/>
    <mergeCell ref="A78:Z78"/>
    <mergeCell ref="A79:Z79"/>
    <mergeCell ref="A80:Z80"/>
    <mergeCell ref="A3:Z3"/>
    <mergeCell ref="A67:Z67"/>
    <mergeCell ref="A74:Z74"/>
    <mergeCell ref="A4:Z4"/>
    <mergeCell ref="A6:Z6"/>
    <mergeCell ref="A69:Z69"/>
    <mergeCell ref="A68:Z68"/>
    <mergeCell ref="S8:Z8"/>
    <mergeCell ref="A64:Z64"/>
  </mergeCells>
  <pageMargins left="0.70866141732283472" right="0.70866141732283472" top="0.74803149606299213" bottom="0.74803149606299213" header="0.31496062992125984" footer="0.31496062992125984"/>
  <pageSetup paperSize="8" scale="82" fitToHeight="0" orientation="landscape" r:id="rId1"/>
  <rowBreaks count="2" manualBreakCount="2">
    <brk id="60" min="1" max="28" man="1"/>
    <brk id="86" max="2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kb73b3df24114868a21db4ce3ca83710 xmlns="82ff9d9b-d3fc-4aad-bc42-9949ee83b815">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kb73b3df24114868a21db4ce3ca83710>
    <TaxCatchAll xmlns="82ff9d9b-d3fc-4aad-bc42-9949ee83b815">
      <Value>2</Value>
      <Value>1</Value>
    </TaxCatchAll>
    <TaxKeywordTaxHTField xmlns="82ff9d9b-d3fc-4aad-bc42-9949ee83b815">
      <Terms xmlns="http://schemas.microsoft.com/office/infopath/2007/PartnerControls"/>
    </TaxKeywordTaxHTField>
    <IconOverlay xmlns="http://schemas.microsoft.com/sharepoint/v4" xsi:nil="true"/>
    <LMName xmlns="82ff9d9b-d3fc-4aad-bc42-9949ee83b815" xsi:nil="true"/>
    <LastModDate xmlns="82ff9d9b-d3fc-4aad-bc42-9949ee83b815" xsi:nil="true"/>
    <SecClass xmlns="82ff9d9b-d3fc-4aad-bc42-9949ee83b815">UNCLASSIFIED</SecClass>
    <iee44f6412bf40639855518abb1a08cc xmlns="82ff9d9b-d3fc-4aad-bc42-9949ee83b815">
      <Terms xmlns="http://schemas.microsoft.com/office/infopath/2007/PartnerControls">
        <TermInfo xmlns="http://schemas.microsoft.com/office/infopath/2007/PartnerControls">
          <TermName xmlns="http://schemas.microsoft.com/office/infopath/2007/PartnerControls">Accounting Policy/Advice</TermName>
          <TermId xmlns="http://schemas.microsoft.com/office/infopath/2007/PartnerControls">9487b7ba-e9d4-4e56-9fd5-fbe77776353a</TermId>
        </TermInfo>
      </Terms>
    </iee44f6412bf40639855518abb1a08cc>
    <k90b8697a98d4606834ec03f7c33303a xmlns="82ff9d9b-d3fc-4aad-bc42-9949ee83b815">
      <Terms xmlns="http://schemas.microsoft.com/office/infopath/2007/PartnerControls"/>
    </k90b8697a98d4606834ec03f7c33303a>
    <k710d1823c744f64b20abec111d3c509 xmlns="82ff9d9b-d3fc-4aad-bc42-9949ee83b815">
      <Terms xmlns="http://schemas.microsoft.com/office/infopath/2007/PartnerControls">
        <TermInfo xmlns="http://schemas.microsoft.com/office/infopath/2007/PartnerControls">
          <TermName xmlns="http://schemas.microsoft.com/office/infopath/2007/PartnerControls">Department of Finance</TermName>
          <TermId xmlns="http://schemas.microsoft.com/office/infopath/2007/PartnerControls">fd660e8f-8f31-49bd-92a3-d31d4da31afe</TermId>
        </TermInfo>
      </Terms>
    </k710d1823c744f64b20abec111d3c509>
    <RelatedItems xmlns="http://schemas.microsoft.com/sharepoint/v3" xsi:nil="true"/>
    <_dlc_DocId xmlns="d163c1c4-855a-4881-8259-681c09980ad5">FIN201633505-1261068652-527</_dlc_DocId>
    <_dlc_DocIdUrl xmlns="d163c1c4-855a-4881-8259-681c09980ad5">
      <Url>https://f1.prdmgd.finance.gov.au/sites/50033505/_layouts/15/DocIdRedir.aspx?ID=FIN201633505-1261068652-527</Url>
      <Description>FIN201633505-1261068652-527</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Finance Word Document" ma:contentTypeID="0x010100B321FEA60C5BA343A52BC94EC00ABC9E070100EC5E8B7D9F840B439E44064AD5CDECF0" ma:contentTypeVersion="57" ma:contentTypeDescription="Finance Word Document" ma:contentTypeScope="" ma:versionID="cd33fe67b5d5d134583aa1ea31036a90">
  <xsd:schema xmlns:xsd="http://www.w3.org/2001/XMLSchema" xmlns:xs="http://www.w3.org/2001/XMLSchema" xmlns:p="http://schemas.microsoft.com/office/2006/metadata/properties" xmlns:ns1="http://schemas.microsoft.com/sharepoint/v3" xmlns:ns2="82ff9d9b-d3fc-4aad-bc42-9949ee83b815" xmlns:ns3="d163c1c4-855a-4881-8259-681c09980ad5" xmlns:ns4="http://schemas.microsoft.com/sharepoint/v4" targetNamespace="http://schemas.microsoft.com/office/2006/metadata/properties" ma:root="true" ma:fieldsID="205d757967044925bbb1cbb893b10273" ns1:_="" ns2:_="" ns3:_="" ns4:_="">
    <xsd:import namespace="http://schemas.microsoft.com/sharepoint/v3"/>
    <xsd:import namespace="82ff9d9b-d3fc-4aad-bc42-9949ee83b815"/>
    <xsd:import namespace="d163c1c4-855a-4881-8259-681c09980ad5"/>
    <xsd:import namespace="http://schemas.microsoft.com/sharepoint/v4"/>
    <xsd:element name="properties">
      <xsd:complexType>
        <xsd:sequence>
          <xsd:element name="documentManagement">
            <xsd:complexType>
              <xsd:all>
                <xsd:element ref="ns2:SecClass" minOccurs="0"/>
                <xsd:element ref="ns1:RelatedItems" minOccurs="0"/>
                <xsd:element ref="ns2:LMName" minOccurs="0"/>
                <xsd:element ref="ns2:LastModDate" minOccurs="0"/>
                <xsd:element ref="ns2:k710d1823c744f64b20abec111d3c509" minOccurs="0"/>
                <xsd:element ref="ns2:kb73b3df24114868a21db4ce3ca83710" minOccurs="0"/>
                <xsd:element ref="ns2:TaxKeywordTaxHTField" minOccurs="0"/>
                <xsd:element ref="ns2:TaxCatchAll" minOccurs="0"/>
                <xsd:element ref="ns2:k90b8697a98d4606834ec03f7c33303a" minOccurs="0"/>
                <xsd:element ref="ns2:iee44f6412bf40639855518abb1a08cc" minOccurs="0"/>
                <xsd:element ref="ns2:TaxCatchAllLabel" minOccurs="0"/>
                <xsd:element ref="ns3:SharedWithUsers" minOccurs="0"/>
                <xsd:element ref="ns4:IconOverlay"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7"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2ff9d9b-d3fc-4aad-bc42-9949ee83b815" elementFormDefault="qualified">
    <xsd:import namespace="http://schemas.microsoft.com/office/2006/documentManagement/types"/>
    <xsd:import namespace="http://schemas.microsoft.com/office/infopath/2007/PartnerControls"/>
    <xsd:element name="SecClass" ma:index="3" nillable="true" ma:displayName="Security Classification" ma:default="UNCLASSIFIED" ma:description="Security Classification" ma:format="Dropdown" ma:internalName="SecClass">
      <xsd:simpleType>
        <xsd:restriction base="dms:Choice">
          <xsd:enumeration value="UNOFFICIAL"/>
          <xsd:enumeration value="UNCLASSIFIED"/>
          <xsd:enumeration value="UNCLASSIFIED - Sensitive: Personal"/>
          <xsd:enumeration value="UNCLASSIFIED - Sensitive: Legal"/>
          <xsd:enumeration value="UNCLASSIFIED - Sensitive"/>
          <xsd:enumeration value="For Official Use Only"/>
          <xsd:enumeration value="PROTECTED"/>
          <xsd:enumeration value="PROTECTED - Sensitive: Cabinet"/>
          <xsd:enumeration value="PROTECTED - Sensitive: Personal"/>
          <xsd:enumeration value="PROTECTED - Sensitive: Legal"/>
          <xsd:enumeration value="PROTECTED - Sensitive"/>
        </xsd:restriction>
      </xsd:simpleType>
    </xsd:element>
    <xsd:element name="LMName" ma:index="9" nillable="true" ma:displayName="Last Modified by Name" ma:description="For archiving purposes" ma:internalName="LMName">
      <xsd:simpleType>
        <xsd:restriction base="dms:Text"/>
      </xsd:simpleType>
    </xsd:element>
    <xsd:element name="LastModDate" ma:index="10" nillable="true" ma:displayName="Last User Modified Date" ma:description="Date/time when document was last time modified by a user (as opposed to system updtates)" ma:format="DateTime" ma:internalName="LastModDate">
      <xsd:simpleType>
        <xsd:restriction base="dms:DateTime"/>
      </xsd:simpleType>
    </xsd:element>
    <xsd:element name="k710d1823c744f64b20abec111d3c509" ma:index="13" nillable="true" ma:taxonomy="true" ma:internalName="k710d1823c744f64b20abec111d3c509" ma:taxonomyFieldName="InitiatingEntity" ma:displayName="Initiating Entity" ma:indexed="true" ma:fieldId="{4710d182-3c74-4f64-b20a-bec111d3c509}" ma:sspId="c5fb5116-7131-45fb-9d92-926478776364" ma:termSetId="1dd44c57-eb90-49d3-b71d-825941fd7214" ma:anchorId="00000000-0000-0000-0000-000000000000" ma:open="false" ma:isKeyword="false">
      <xsd:complexType>
        <xsd:sequence>
          <xsd:element ref="pc:Terms" minOccurs="0" maxOccurs="1"/>
        </xsd:sequence>
      </xsd:complexType>
    </xsd:element>
    <xsd:element name="kb73b3df24114868a21db4ce3ca83710" ma:index="15" nillable="true" ma:taxonomy="true" ma:internalName="kb73b3df24114868a21db4ce3ca83710" ma:taxonomyFieldName="AbtEntity" ma:displayName="About Entity" ma:fieldId="{4b73b3df-2411-4868-a21d-b4ce3ca83710}" ma:taxonomyMulti="true" ma:sspId="c5fb5116-7131-45fb-9d92-926478776364" ma:termSetId="1dd44c57-eb90-49d3-b71d-825941fd7214" ma:anchorId="00000000-0000-0000-0000-000000000000" ma:open="false" ma:isKeyword="false">
      <xsd:complexType>
        <xsd:sequence>
          <xsd:element ref="pc:Terms" minOccurs="0" maxOccurs="1"/>
        </xsd:sequence>
      </xsd:complexType>
    </xsd:element>
    <xsd:element name="TaxKeywordTaxHTField" ma:index="18" nillable="true" ma:taxonomy="true" ma:internalName="TaxKeywordTaxHTField" ma:taxonomyFieldName="TaxKeyword" ma:displayName="Enterprise Keywords" ma:fieldId="{23f27201-bee3-471e-b2e7-b64fd8b7ca38}" ma:taxonomyMulti="true" ma:sspId="c5fb5116-7131-45fb-9d92-926478776364" ma:termSetId="00000000-0000-0000-0000-000000000000" ma:anchorId="00000000-0000-0000-0000-000000000000" ma:open="true" ma:isKeyword="true">
      <xsd:complexType>
        <xsd:sequence>
          <xsd:element ref="pc:Terms" minOccurs="0" maxOccurs="1"/>
        </xsd:sequence>
      </xsd:complexType>
    </xsd:element>
    <xsd:element name="TaxCatchAll" ma:index="19" nillable="true" ma:displayName="Taxonomy Catch All Column" ma:description="" ma:hidden="true" ma:list="{6318d2f0-f03b-4efd-ae43-ed0b819fbc9f}" ma:internalName="TaxCatchAll" ma:showField="CatchAllData" ma:web="d163c1c4-855a-4881-8259-681c09980ad5">
      <xsd:complexType>
        <xsd:complexContent>
          <xsd:extension base="dms:MultiChoiceLookup">
            <xsd:sequence>
              <xsd:element name="Value" type="dms:Lookup" maxOccurs="unbounded" minOccurs="0" nillable="true"/>
            </xsd:sequence>
          </xsd:extension>
        </xsd:complexContent>
      </xsd:complexType>
    </xsd:element>
    <xsd:element name="k90b8697a98d4606834ec03f7c33303a" ma:index="20" nillable="true" ma:taxonomy="true" ma:internalName="k90b8697a98d4606834ec03f7c33303a" ma:taxonomyFieldName="Function_x0020_and_x0020_Activity" ma:displayName="Function and Activity" ma:indexed="true" ma:default="" ma:fieldId="{490b8697-a98d-4606-834e-c03f7c33303a}" ma:sspId="c5fb5116-7131-45fb-9d92-926478776364" ma:termSetId="d6a09c5b-e950-47cc-8e6b-7e27719f9f0b" ma:anchorId="00000000-0000-0000-0000-000000000000" ma:open="false" ma:isKeyword="false">
      <xsd:complexType>
        <xsd:sequence>
          <xsd:element ref="pc:Terms" minOccurs="0" maxOccurs="1"/>
        </xsd:sequence>
      </xsd:complexType>
    </xsd:element>
    <xsd:element name="iee44f6412bf40639855518abb1a08cc" ma:index="22" nillable="true" ma:taxonomy="true" ma:internalName="iee44f6412bf40639855518abb1a08cc" ma:taxonomyFieldName="OrgUnit" ma:displayName="Organisation Unit" ma:indexed="true" ma:fieldId="{2ee44f64-12bf-4063-9855-518abb1a08cc}" ma:sspId="c5fb5116-7131-45fb-9d92-926478776364" ma:termSetId="642ac736-c0d1-48cf-939c-a81b0e893448" ma:anchorId="00000000-0000-0000-0000-000000000000" ma:open="false" ma:isKeyword="false">
      <xsd:complexType>
        <xsd:sequence>
          <xsd:element ref="pc:Terms" minOccurs="0" maxOccurs="1"/>
        </xsd:sequence>
      </xsd:complexType>
    </xsd:element>
    <xsd:element name="TaxCatchAllLabel" ma:index="23" nillable="true" ma:displayName="Taxonomy Catch All Column1" ma:description="" ma:hidden="true" ma:list="{6318d2f0-f03b-4efd-ae43-ed0b819fbc9f}" ma:internalName="TaxCatchAllLabel" ma:readOnly="true" ma:showField="CatchAllDataLabel" ma:web="d163c1c4-855a-4881-8259-681c09980ad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163c1c4-855a-4881-8259-681c09980ad5" elementFormDefault="qualified">
    <xsd:import namespace="http://schemas.microsoft.com/office/2006/documentManagement/types"/>
    <xsd:import namespace="http://schemas.microsoft.com/office/infopath/2007/PartnerControls"/>
    <xsd:element name="SharedWithUsers" ma:index="2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26" nillable="true" ma:displayName="Document ID Value" ma:description="The value of the document ID assigned to this item." ma:internalName="_dlc_DocId" ma:readOnly="true">
      <xsd:simpleType>
        <xsd:restriction base="dms:Text"/>
      </xsd:simpleType>
    </xsd:element>
    <xsd:element name="_dlc_DocIdUrl" ma:index="27" nillable="true" ma:displayName="Information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c5fb5116-7131-45fb-9d92-926478776364" ContentTypeId="0x010100B321FEA60C5BA343A52BC94EC00ABC9E0701"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EA4F8A-9F99-4EC6-8ABF-DBBACBE90B43}">
  <ds:schemaRefs>
    <ds:schemaRef ds:uri="http://purl.org/dc/dcmitype/"/>
    <ds:schemaRef ds:uri="http://schemas.microsoft.com/sharepoint/v3"/>
    <ds:schemaRef ds:uri="http://schemas.microsoft.com/sharepoint/v4"/>
    <ds:schemaRef ds:uri="http://purl.org/dc/elements/1.1/"/>
    <ds:schemaRef ds:uri="http://schemas.microsoft.com/office/infopath/2007/PartnerControls"/>
    <ds:schemaRef ds:uri="d163c1c4-855a-4881-8259-681c09980ad5"/>
    <ds:schemaRef ds:uri="http://purl.org/dc/terms/"/>
    <ds:schemaRef ds:uri="http://schemas.microsoft.com/office/2006/metadata/properties"/>
    <ds:schemaRef ds:uri="http://schemas.microsoft.com/office/2006/documentManagement/types"/>
    <ds:schemaRef ds:uri="http://schemas.openxmlformats.org/package/2006/metadata/core-properties"/>
    <ds:schemaRef ds:uri="82ff9d9b-d3fc-4aad-bc42-9949ee83b815"/>
    <ds:schemaRef ds:uri="http://www.w3.org/XML/1998/namespace"/>
  </ds:schemaRefs>
</ds:datastoreItem>
</file>

<file path=customXml/itemProps2.xml><?xml version="1.0" encoding="utf-8"?>
<ds:datastoreItem xmlns:ds="http://schemas.openxmlformats.org/officeDocument/2006/customXml" ds:itemID="{BDFA0269-27AB-4D36-B2CC-AA243C6FE7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ff9d9b-d3fc-4aad-bc42-9949ee83b815"/>
    <ds:schemaRef ds:uri="d163c1c4-855a-4881-8259-681c09980ad5"/>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422D27-4973-4573-9166-A0C4EDDD3495}">
  <ds:schemaRefs>
    <ds:schemaRef ds:uri="http://schemas.microsoft.com/sharepoint/events"/>
  </ds:schemaRefs>
</ds:datastoreItem>
</file>

<file path=customXml/itemProps4.xml><?xml version="1.0" encoding="utf-8"?>
<ds:datastoreItem xmlns:ds="http://schemas.openxmlformats.org/officeDocument/2006/customXml" ds:itemID="{9354FA5D-AD91-495E-85EC-6BF1816246CA}">
  <ds:schemaRefs>
    <ds:schemaRef ds:uri="Microsoft.SharePoint.Taxonomy.ContentTypeSync"/>
  </ds:schemaRefs>
</ds:datastoreItem>
</file>

<file path=customXml/itemProps5.xml><?xml version="1.0" encoding="utf-8"?>
<ds:datastoreItem xmlns:ds="http://schemas.openxmlformats.org/officeDocument/2006/customXml" ds:itemID="{22025C9A-9587-4E46-A179-884A230B99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AASB 16 Requirements Sub Leases</vt:lpstr>
      <vt:lpstr>A - Lease Transition</vt:lpstr>
      <vt:lpstr>Example B(ii) - Operating Sub</vt:lpstr>
      <vt:lpstr>B(i) Lease Commencing Post Tran</vt:lpstr>
      <vt:lpstr>B(ii) Fitout Incentive post Com</vt:lpstr>
      <vt:lpstr>C1 - Finance Sub Lease</vt:lpstr>
      <vt:lpstr>C2 - Operating Sub Lease</vt:lpstr>
      <vt:lpstr>B2 - Operating Sub Lease   </vt:lpstr>
      <vt:lpstr>D Modification or Term Reassess</vt:lpstr>
      <vt:lpstr>E(i) Lease Market Review Index</vt:lpstr>
      <vt:lpstr>E(ii) Lease Market Review Fixed</vt:lpstr>
      <vt:lpstr>F - Lease Portfolio</vt:lpstr>
      <vt:lpstr>G - Foreign Currency</vt:lpstr>
      <vt:lpstr>H - Sale &amp; Leaseback </vt:lpstr>
      <vt:lpstr>I - Lease Termination</vt:lpstr>
      <vt:lpstr>'A - Lease Transition'!Print_Area</vt:lpstr>
      <vt:lpstr>'B(i) Lease Commencing Post Tran'!Print_Area</vt:lpstr>
      <vt:lpstr>'B(ii) Fitout Incentive post Com'!Print_Area</vt:lpstr>
      <vt:lpstr>'D Modification or Term Reassess'!Print_Area</vt:lpstr>
      <vt:lpstr>'F - Lease Portfolio'!Print_Area</vt:lpstr>
      <vt:lpstr>'G - Foreign Currency'!Print_Area</vt:lpstr>
      <vt:lpstr>'H - Sale &amp; Leaseback '!Print_Area</vt:lpstr>
      <vt:lpstr>'I - Lease Termination'!Print_Area</vt:lpstr>
    </vt:vector>
  </TitlesOfParts>
  <Company>Department of Finance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Forner, Dario</dc:creator>
  <cp:lastModifiedBy>Tkalcevic, Rob</cp:lastModifiedBy>
  <cp:lastPrinted>2020-10-16T00:43:09Z</cp:lastPrinted>
  <dcterms:created xsi:type="dcterms:W3CDTF">2019-03-29T10:04:20Z</dcterms:created>
  <dcterms:modified xsi:type="dcterms:W3CDTF">2021-09-29T04:14:44Z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0x010100B321FEA60C5BA343A52BC94EC00ABC9E070100EC5E8B7D9F840B439E44064AD5CDECF0</vt:lpwstr>
  </property>
  <property fmtid="{D5CDD505-2E9C-101B-9397-08002B2CF9AE}" pid="3" name="TaxKeyword">
    <vt:lpwstr/>
  </property>
  <property fmtid="{D5CDD505-2E9C-101B-9397-08002B2CF9AE}" pid="4" name="AbtEntity">
    <vt:lpwstr>2;#Department of Finance|fd660e8f-8f31-49bd-92a3-d31d4da31afe</vt:lpwstr>
  </property>
  <property fmtid="{D5CDD505-2E9C-101B-9397-08002B2CF9AE}" pid="5" name="InitiatingEntity">
    <vt:lpwstr>2;#Department of Finance|fd660e8f-8f31-49bd-92a3-d31d4da31afe</vt:lpwstr>
  </property>
  <property fmtid="{D5CDD505-2E9C-101B-9397-08002B2CF9AE}" pid="6" name="Function and Activity">
    <vt:lpwstr/>
  </property>
  <property fmtid="{D5CDD505-2E9C-101B-9397-08002B2CF9AE}" pid="7" name="OrgUnit">
    <vt:lpwstr>1;#Accounting Policy/Advice|9487b7ba-e9d4-4e56-9fd5-fbe77776353a</vt:lpwstr>
  </property>
  <property fmtid="{D5CDD505-2E9C-101B-9397-08002B2CF9AE}" pid="8" name="_dlc_DocIdItemGuid">
    <vt:lpwstr>d799f24b-b7b6-4df1-92a6-5d5e2c15d0d0</vt:lpwstr>
  </property>
</Properties>
</file>